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115" windowHeight="11970" activeTab="0"/>
  </bookViews>
  <sheets>
    <sheet name="Objects" sheetId="1" r:id="rId1"/>
    <sheet name="Reference" sheetId="2" r:id="rId2"/>
    <sheet name="Sheet3" sheetId="3" r:id="rId3"/>
  </sheets>
  <definedNames>
    <definedName name="chz" localSheetId="0">'Objects'!$I$101</definedName>
  </definedNames>
  <calcPr fullCalcOnLoad="1"/>
</workbook>
</file>

<file path=xl/sharedStrings.xml><?xml version="1.0" encoding="utf-8"?>
<sst xmlns="http://schemas.openxmlformats.org/spreadsheetml/2006/main" count="550" uniqueCount="402">
  <si>
    <t>Color</t>
  </si>
  <si>
    <t>Yellow</t>
  </si>
  <si>
    <t>G2V</t>
  </si>
  <si>
    <t>Size</t>
  </si>
  <si>
    <t>Degrees</t>
  </si>
  <si>
    <t>Supergiants</t>
  </si>
  <si>
    <t>III</t>
  </si>
  <si>
    <t>giants</t>
  </si>
  <si>
    <t>V</t>
  </si>
  <si>
    <t>dwarfs (Main seq)</t>
  </si>
  <si>
    <t>Min</t>
  </si>
  <si>
    <t>K1V</t>
  </si>
  <si>
    <t>Orange</t>
  </si>
  <si>
    <t>I</t>
  </si>
  <si>
    <t>O</t>
  </si>
  <si>
    <t>B</t>
  </si>
  <si>
    <t xml:space="preserve">A </t>
  </si>
  <si>
    <t>F</t>
  </si>
  <si>
    <t>G</t>
  </si>
  <si>
    <t>M</t>
  </si>
  <si>
    <t>K</t>
  </si>
  <si>
    <t>Blue</t>
  </si>
  <si>
    <t>Blue White</t>
  </si>
  <si>
    <t>White</t>
  </si>
  <si>
    <t>Red</t>
  </si>
  <si>
    <t>Proxima Centauri</t>
  </si>
  <si>
    <t>M5.5Ve</t>
  </si>
  <si>
    <t>Tau Ceti</t>
  </si>
  <si>
    <t>G8V</t>
  </si>
  <si>
    <t>Debris Disk</t>
  </si>
  <si>
    <t>G3V</t>
  </si>
  <si>
    <t>K7V</t>
  </si>
  <si>
    <t>Beta Hydri</t>
  </si>
  <si>
    <t>G2!V</t>
  </si>
  <si>
    <t>Delta Pavonis</t>
  </si>
  <si>
    <t>F6V</t>
  </si>
  <si>
    <t>Gamma Leporis</t>
  </si>
  <si>
    <t>F7V</t>
  </si>
  <si>
    <t>K2V</t>
  </si>
  <si>
    <t>Epsilon Eridani</t>
  </si>
  <si>
    <t>Yellow-White</t>
  </si>
  <si>
    <t>Inner Belt</t>
  </si>
  <si>
    <t>Outer Belt</t>
  </si>
  <si>
    <t>Dense Debris Disk</t>
  </si>
  <si>
    <t>?Epsilon Eridani c</t>
  </si>
  <si>
    <t>40 Eridani</t>
  </si>
  <si>
    <t>40 Eridani B</t>
  </si>
  <si>
    <t>40 Eridani C</t>
  </si>
  <si>
    <t>DA4</t>
  </si>
  <si>
    <t>M4.5e</t>
  </si>
  <si>
    <t>Pi3 Orionis</t>
  </si>
  <si>
    <t>Alpha Centauri A</t>
  </si>
  <si>
    <t>Alpha Centauri B</t>
  </si>
  <si>
    <t>Bernards Star</t>
  </si>
  <si>
    <t>M4.0Ve</t>
  </si>
  <si>
    <t>Wolf 359</t>
  </si>
  <si>
    <t>M6.0V</t>
  </si>
  <si>
    <t>Lalande 21185</t>
  </si>
  <si>
    <t>M2.0V</t>
  </si>
  <si>
    <t>Sirius</t>
  </si>
  <si>
    <t>A1V</t>
  </si>
  <si>
    <t>DA2</t>
  </si>
  <si>
    <t>55 Cancri</t>
  </si>
  <si>
    <t>Gliese 876</t>
  </si>
  <si>
    <t>M4V</t>
  </si>
  <si>
    <t>A3V</t>
  </si>
  <si>
    <t>F8V</t>
  </si>
  <si>
    <t>M2.5</t>
  </si>
  <si>
    <t>Fomalhaut</t>
  </si>
  <si>
    <t>Procyon</t>
  </si>
  <si>
    <t>F5V</t>
  </si>
  <si>
    <t>Procyon B</t>
  </si>
  <si>
    <t>DA</t>
  </si>
  <si>
    <t>White Dwarf</t>
  </si>
  <si>
    <t>K5V</t>
  </si>
  <si>
    <t>61 Cygni A</t>
  </si>
  <si>
    <t>61 Cygni B</t>
  </si>
  <si>
    <t>Epsilon Indi</t>
  </si>
  <si>
    <t>K5Ve</t>
  </si>
  <si>
    <t>Ba</t>
  </si>
  <si>
    <t>Bb</t>
  </si>
  <si>
    <t>T1.0V</t>
  </si>
  <si>
    <t>T6.0V</t>
  </si>
  <si>
    <t>Brown Dwarf</t>
  </si>
  <si>
    <t>Sol</t>
  </si>
  <si>
    <t>10 AU min , 35-50AU mostly</t>
  </si>
  <si>
    <t>1.5J</t>
  </si>
  <si>
    <t>.1J</t>
  </si>
  <si>
    <t>Epsilon Eridani b</t>
  </si>
  <si>
    <t>1500 au</t>
  </si>
  <si>
    <t>.03J</t>
  </si>
  <si>
    <t>.8J</t>
  </si>
  <si>
    <t>.2J</t>
  </si>
  <si>
    <t>4J</t>
  </si>
  <si>
    <t>Neptune or large terrestrial</t>
  </si>
  <si>
    <t>Hot Jupiter</t>
  </si>
  <si>
    <t>Saturn</t>
  </si>
  <si>
    <t>1/2 Saturn</t>
  </si>
  <si>
    <t>Super Earth</t>
  </si>
  <si>
    <t>Tidal no moons!</t>
  </si>
  <si>
    <t>1.75J</t>
  </si>
  <si>
    <t>Rings!</t>
  </si>
  <si>
    <t>Upsilon Andromedae</t>
  </si>
  <si>
    <t>Upsilon Andromedae B</t>
  </si>
  <si>
    <t>.7J</t>
  </si>
  <si>
    <t>2J</t>
  </si>
  <si>
    <t>M4.5V</t>
  </si>
  <si>
    <t>Uranus</t>
  </si>
  <si>
    <t>X</t>
  </si>
  <si>
    <t>Y</t>
  </si>
  <si>
    <t>Spectral Class</t>
  </si>
  <si>
    <t>In Game Color</t>
  </si>
  <si>
    <t>Yellowish White</t>
  </si>
  <si>
    <t>D</t>
  </si>
  <si>
    <t>T</t>
  </si>
  <si>
    <t>Green</t>
  </si>
  <si>
    <t>Spectral Size</t>
  </si>
  <si>
    <t>Type</t>
  </si>
  <si>
    <t>Radius</t>
  </si>
  <si>
    <t>Planet Distances</t>
  </si>
  <si>
    <t>&lt;= 1 AU</t>
  </si>
  <si>
    <t>&gt;1 AU-10 AU</t>
  </si>
  <si>
    <t>Max</t>
  </si>
  <si>
    <t>&gt;10AU-100 AU</t>
  </si>
  <si>
    <t>Mult</t>
  </si>
  <si>
    <t>Add</t>
  </si>
  <si>
    <t xml:space="preserve">Min AU </t>
  </si>
  <si>
    <t>Max AU</t>
  </si>
  <si>
    <t>100+</t>
  </si>
  <si>
    <t>W</t>
  </si>
  <si>
    <t>All Size 10</t>
  </si>
  <si>
    <t>Object</t>
  </si>
  <si>
    <t>Mercury</t>
  </si>
  <si>
    <t>Game Color</t>
  </si>
  <si>
    <t>Stars</t>
  </si>
  <si>
    <t>Planets</t>
  </si>
  <si>
    <t>Distance in LY</t>
  </si>
  <si>
    <t>Distance in AU</t>
  </si>
  <si>
    <t>R.A Hours</t>
  </si>
  <si>
    <t>R.A. Min</t>
  </si>
  <si>
    <t>R.A Sec</t>
  </si>
  <si>
    <t>Sol Analog</t>
  </si>
  <si>
    <t>Venus</t>
  </si>
  <si>
    <t>Earth</t>
  </si>
  <si>
    <t>Mars</t>
  </si>
  <si>
    <t>Jupiter</t>
  </si>
  <si>
    <t>Neptune</t>
  </si>
  <si>
    <t>Desert .055 Earth masses</t>
  </si>
  <si>
    <t>Volcanic .815 Earth masses</t>
  </si>
  <si>
    <t>Terran 1 Earth Masses</t>
  </si>
  <si>
    <t>Desert .015 Earth Masses</t>
  </si>
  <si>
    <t>Asteroid Belt</t>
  </si>
  <si>
    <t>Chart Colors</t>
  </si>
  <si>
    <t>Primary Star</t>
  </si>
  <si>
    <t>Lt Green</t>
  </si>
  <si>
    <t>Hab Zone</t>
  </si>
  <si>
    <t>Dark Green</t>
  </si>
  <si>
    <t>Planet/Belt</t>
  </si>
  <si>
    <t>Satilite in Hab zone</t>
  </si>
  <si>
    <t>Dark Blue</t>
  </si>
  <si>
    <t>Lt Blue</t>
  </si>
  <si>
    <t>Satilite</t>
  </si>
  <si>
    <t>Companion Star</t>
  </si>
  <si>
    <t>Luna</t>
  </si>
  <si>
    <t>Moon</t>
  </si>
  <si>
    <t>Ceres</t>
  </si>
  <si>
    <t>Asteroid 0.00015 earth masses</t>
  </si>
  <si>
    <t>Haumea</t>
  </si>
  <si>
    <t>Makemake</t>
  </si>
  <si>
    <t>Eris</t>
  </si>
  <si>
    <t>Pluto</t>
  </si>
  <si>
    <t>Scattered Disk</t>
  </si>
  <si>
    <t>Kuiper Belt</t>
  </si>
  <si>
    <t>Gas Giant, 318 Earth masses</t>
  </si>
  <si>
    <t>Io</t>
  </si>
  <si>
    <t>Ganymede</t>
  </si>
  <si>
    <t>Callisto</t>
  </si>
  <si>
    <t>Europa</t>
  </si>
  <si>
    <t>95 Earth masses</t>
  </si>
  <si>
    <t>Mimas</t>
  </si>
  <si>
    <t>Enceladus</t>
  </si>
  <si>
    <t>Volcanic/ice</t>
  </si>
  <si>
    <t>Tethys</t>
  </si>
  <si>
    <t>Dione</t>
  </si>
  <si>
    <t>Rhea</t>
  </si>
  <si>
    <t>Titan</t>
  </si>
  <si>
    <t>Iaptus</t>
  </si>
  <si>
    <t>Atmosphere</t>
  </si>
  <si>
    <t>Gas giant 14 Earth masses</t>
  </si>
  <si>
    <t>Gas Giant 17 Earth masses</t>
  </si>
  <si>
    <t>Miranda</t>
  </si>
  <si>
    <t>Ariel</t>
  </si>
  <si>
    <t>Umbriel</t>
  </si>
  <si>
    <t>Titiana</t>
  </si>
  <si>
    <t>Oberon</t>
  </si>
  <si>
    <t>Triton</t>
  </si>
  <si>
    <t>Dwarf planet in Debris belt</t>
  </si>
  <si>
    <t>Debris Belt</t>
  </si>
  <si>
    <t>Lt Orange</t>
  </si>
  <si>
    <t>Charon</t>
  </si>
  <si>
    <t>Type/Mass</t>
  </si>
  <si>
    <t>Neried</t>
  </si>
  <si>
    <t>Rings</t>
  </si>
  <si>
    <t>2 Pallas</t>
  </si>
  <si>
    <t>3 Juno</t>
  </si>
  <si>
    <t>4 Vesta</t>
  </si>
  <si>
    <t>10 Hygeia</t>
  </si>
  <si>
    <t>Moons in E Ring</t>
  </si>
  <si>
    <t>Moons of Saturn not Rings</t>
  </si>
  <si>
    <t>Center</t>
  </si>
  <si>
    <t xml:space="preserve">X </t>
  </si>
  <si>
    <t>Eta Cassiopeiae B</t>
  </si>
  <si>
    <t>SOLAR SYSTEM</t>
  </si>
  <si>
    <t>Terrestrial Planet Finder Top 10</t>
  </si>
  <si>
    <t>Gamma Leporis B</t>
  </si>
  <si>
    <t>Red Dwarf</t>
  </si>
  <si>
    <t>Sirus B</t>
  </si>
  <si>
    <t>55 Cancri e</t>
  </si>
  <si>
    <t>55 Cancri b</t>
  </si>
  <si>
    <t>55 Cancri c</t>
  </si>
  <si>
    <t>55 Cancri f</t>
  </si>
  <si>
    <t>55 Cancri d</t>
  </si>
  <si>
    <t>Super Jupiter</t>
  </si>
  <si>
    <t>Gliese 876 d</t>
  </si>
  <si>
    <t>Gliese 876 c</t>
  </si>
  <si>
    <t>Gliese 876 b</t>
  </si>
  <si>
    <t>Fomalhaut b</t>
  </si>
  <si>
    <t>Upsilon And c</t>
  </si>
  <si>
    <t>Upsilon And b</t>
  </si>
  <si>
    <t>Upsilon And d</t>
  </si>
  <si>
    <t>Gliese 436 b</t>
  </si>
  <si>
    <t>Gliese 436</t>
  </si>
  <si>
    <t>Distance Multiplier</t>
  </si>
  <si>
    <t>This is the center divided by the farthest distance currently 43.9</t>
  </si>
  <si>
    <t>Placed</t>
  </si>
  <si>
    <t>Alpha Centauri Center</t>
  </si>
  <si>
    <t>placed 20 off so it wont overlap</t>
  </si>
  <si>
    <t>Placed 20 off so it wont overlap</t>
  </si>
  <si>
    <t>Placed at 300AU, Really 2.1AU from B and 1500AU from A</t>
  </si>
  <si>
    <t>Placed at 300AU, Really 2.1AU from C and 1500AU from A</t>
  </si>
  <si>
    <t>Groombridge 1618</t>
  </si>
  <si>
    <t>K7.0V</t>
  </si>
  <si>
    <t>Luyten 726-8</t>
  </si>
  <si>
    <t>M6.0Ve</t>
  </si>
  <si>
    <t>Ross 154</t>
  </si>
  <si>
    <t>M3.5V</t>
  </si>
  <si>
    <t>Ross 248</t>
  </si>
  <si>
    <t>M5.5V</t>
  </si>
  <si>
    <t>Nearest stars not already listed</t>
  </si>
  <si>
    <t>Stars with ExoPlanets</t>
  </si>
  <si>
    <t>K1Ve</t>
  </si>
  <si>
    <t>70 Ophiuci B</t>
  </si>
  <si>
    <t>Altair</t>
  </si>
  <si>
    <t>A71V</t>
  </si>
  <si>
    <t>Sigma Draconis</t>
  </si>
  <si>
    <t>K0V</t>
  </si>
  <si>
    <t>Gliese 570</t>
  </si>
  <si>
    <t>Gliese 570 B</t>
  </si>
  <si>
    <t>Gliese 570 C</t>
  </si>
  <si>
    <t>Red Dwraf</t>
  </si>
  <si>
    <t>Gliese 570 D</t>
  </si>
  <si>
    <t>Placed at 300AU, really 1500AU from A</t>
  </si>
  <si>
    <t>No more Red Dwarfs will be done as primarys stars. Only bright stars will be done</t>
  </si>
  <si>
    <t>36 Ophiuchi B</t>
  </si>
  <si>
    <t>36 Ophiuchi C</t>
  </si>
  <si>
    <t>Placed at 300AU, really 4370+ AU</t>
  </si>
  <si>
    <t>Vega</t>
  </si>
  <si>
    <t>A0Va</t>
  </si>
  <si>
    <t>13-80J masses no fusion</t>
  </si>
  <si>
    <t xml:space="preserve">In a binary system, a planet must not be located too far away from its "home" star or its orbit will be unstable. If that distance exceeds about one fifth of the closest approach of the other star, then the gravitational pull of that second star can disrupt the orbit of the planet. Recent numerical integrations, however, suggest that stable planetary orbits exist: within three AUs (four AUs for retrograde orbits) of either Alpha Centauri A or B in the plane of the binary's orbit; only as far as 0.23 AU for 90-degree inclined orbits; and beyond 70 AUs for planets circling both stars (Weigert and Holman, 1997). Hence, under optimal conditions, either Alpha Centauri A and B could hold four inner rocky planets like the Solar System: Mercury (0.4 AU), Venus (0.7 AU), Earth (1 AU) and Mars (1.5 AUs). </t>
  </si>
  <si>
    <t>15,000 AU from primary, planets in Hab zone tidally locked</t>
  </si>
  <si>
    <t>?Lalande 21185 b</t>
  </si>
  <si>
    <t>.9J</t>
  </si>
  <si>
    <t>?Lalande 21185 c</t>
  </si>
  <si>
    <t>1.6J</t>
  </si>
  <si>
    <t>?Lalande 21185 d</t>
  </si>
  <si>
    <t>1J</t>
  </si>
  <si>
    <t>UV Ceti (Luyten 726-8 B)</t>
  </si>
  <si>
    <t xml:space="preserve"> possible planets to 10AU. Star only 300m years old. Life unlikely</t>
  </si>
  <si>
    <t>Habzone notes</t>
  </si>
  <si>
    <t>*</t>
  </si>
  <si>
    <t>+</t>
  </si>
  <si>
    <t>Tidally Locked</t>
  </si>
  <si>
    <t>Flare Star. Radiation make life unlikly</t>
  </si>
  <si>
    <t>Gliese 581</t>
  </si>
  <si>
    <t>M3V</t>
  </si>
  <si>
    <t>Gliese 581 e</t>
  </si>
  <si>
    <t>Gliese 581 b</t>
  </si>
  <si>
    <t>Gliese 581 c</t>
  </si>
  <si>
    <t>Gliese 581 d</t>
  </si>
  <si>
    <t>1/2 Uranus</t>
  </si>
  <si>
    <t>7 Earths</t>
  </si>
  <si>
    <t>1.9 Earths</t>
  </si>
  <si>
    <t>16 Earths</t>
  </si>
  <si>
    <t>5 Earths</t>
  </si>
  <si>
    <t>Huge Terra or Venus, rocky</t>
  </si>
  <si>
    <t>M2.5-3.0V</t>
  </si>
  <si>
    <t>CD-46 11540 b</t>
  </si>
  <si>
    <t>11.1 Earths</t>
  </si>
  <si>
    <t>M1.5-3.0</t>
  </si>
  <si>
    <t>All Planets adjusted 10x from primary</t>
  </si>
  <si>
    <t>70 Ophiuchi Center</t>
  </si>
  <si>
    <t>70 Ophiuci A</t>
  </si>
  <si>
    <t>23AU seperation</t>
  </si>
  <si>
    <t>23 AU Seperation</t>
  </si>
  <si>
    <t>36 Ophiuchi A</t>
  </si>
  <si>
    <t>24 AU seperation</t>
  </si>
  <si>
    <t>88 AU seperation</t>
  </si>
  <si>
    <t>36 Ophiuchi Center</t>
  </si>
  <si>
    <t>61 Cygni  Center</t>
  </si>
  <si>
    <t>86 AU Seperation</t>
  </si>
  <si>
    <t>Eta Cassiopeiae A</t>
  </si>
  <si>
    <t>71 AU Seperation</t>
  </si>
  <si>
    <t>Purple</t>
  </si>
  <si>
    <t>Binary componets seperated by AU on a center</t>
  </si>
  <si>
    <t>90482 Orcus</t>
  </si>
  <si>
    <t>28978 Ixion</t>
  </si>
  <si>
    <t>20000 Varuna</t>
  </si>
  <si>
    <t>50000 Quaoar</t>
  </si>
  <si>
    <t>90377 Sedna</t>
  </si>
  <si>
    <t>placed really at 525 AU</t>
  </si>
  <si>
    <t>SCR 1845</t>
  </si>
  <si>
    <t>SCR 1845 b</t>
  </si>
  <si>
    <t>8.5MJ</t>
  </si>
  <si>
    <t>M8.5 V</t>
  </si>
  <si>
    <t>Gas Gaint Classification</t>
  </si>
  <si>
    <t>Examples</t>
  </si>
  <si>
    <t>Mass Min</t>
  </si>
  <si>
    <t>Distance</t>
  </si>
  <si>
    <t>Temp</t>
  </si>
  <si>
    <t>I Jovians</t>
  </si>
  <si>
    <t>Ammonia Clouds</t>
  </si>
  <si>
    <t>Jupiter, Saturn</t>
  </si>
  <si>
    <t>1-2MJ</t>
  </si>
  <si>
    <t>5AU+</t>
  </si>
  <si>
    <t>&lt;150K</t>
  </si>
  <si>
    <t>can be lower if mass /temp is greater</t>
  </si>
  <si>
    <t>II Water</t>
  </si>
  <si>
    <t>Water Clouds</t>
  </si>
  <si>
    <t>Up And d</t>
  </si>
  <si>
    <t>1-2AU</t>
  </si>
  <si>
    <t>&lt;250K</t>
  </si>
  <si>
    <t>most atmosphere H and He</t>
  </si>
  <si>
    <t>III Clear</t>
  </si>
  <si>
    <t>Clear</t>
  </si>
  <si>
    <t>Up And c</t>
  </si>
  <si>
    <t>&lt; 1AU</t>
  </si>
  <si>
    <t>350K-800K</t>
  </si>
  <si>
    <t>Gliese 876b, appear blue, methane</t>
  </si>
  <si>
    <t>IV Hot Jupiter</t>
  </si>
  <si>
    <t>Alkali Metals</t>
  </si>
  <si>
    <t>.1AU-.2AU</t>
  </si>
  <si>
    <t>900K+</t>
  </si>
  <si>
    <t>carbon monoxide, = Hot Jupiters</t>
  </si>
  <si>
    <t>V Roasters</t>
  </si>
  <si>
    <t>Silicate Clouds</t>
  </si>
  <si>
    <t>Up and b</t>
  </si>
  <si>
    <t>&lt;.05AU</t>
  </si>
  <si>
    <t>1400K+</t>
  </si>
  <si>
    <t>predicted glow red, but all seem dark</t>
  </si>
  <si>
    <t>5 Mass Earth</t>
  </si>
  <si>
    <t>Ocean P</t>
  </si>
  <si>
    <t>Silicate Rock giants</t>
  </si>
  <si>
    <t>Iron Balls</t>
  </si>
  <si>
    <t>Gas Dwarfs</t>
  </si>
  <si>
    <t>Carbon diamond worlds</t>
  </si>
  <si>
    <t>Hot ice V11 worlds</t>
  </si>
  <si>
    <t>pure carbon-monoxide worlds</t>
  </si>
  <si>
    <t>Terrestrials</t>
  </si>
  <si>
    <t>Mercury, Venus, Earth, Mars, Ceres</t>
  </si>
  <si>
    <t>Io, Europa, moon</t>
  </si>
  <si>
    <t>Earth 300K</t>
  </si>
  <si>
    <t>II Water Clouds</t>
  </si>
  <si>
    <t>GJ 832 b</t>
  </si>
  <si>
    <t>Gi 849</t>
  </si>
  <si>
    <t>M3.5</t>
  </si>
  <si>
    <t>Gi 849 b</t>
  </si>
  <si>
    <t>CD-49 13515/Gliese 832</t>
  </si>
  <si>
    <t>CD-46 11540 /Gliese 674</t>
  </si>
  <si>
    <t>GJ317 b</t>
  </si>
  <si>
    <t>Gliese 176</t>
  </si>
  <si>
    <t>M2.5V</t>
  </si>
  <si>
    <t>Hot Neptune</t>
  </si>
  <si>
    <t>K0IIIb</t>
  </si>
  <si>
    <t>Pollux b</t>
  </si>
  <si>
    <t>Pollux/HD 62509</t>
  </si>
  <si>
    <t>Gliese 86</t>
  </si>
  <si>
    <t>Gliese 86 b</t>
  </si>
  <si>
    <t>Gliese 86 B</t>
  </si>
  <si>
    <t>HD3651 b</t>
  </si>
  <si>
    <t>K0 V</t>
  </si>
  <si>
    <t>HD 69830</t>
  </si>
  <si>
    <t>HD 69830 b</t>
  </si>
  <si>
    <t>HD 69830 c</t>
  </si>
  <si>
    <t>HD 69830 d</t>
  </si>
  <si>
    <t>Gliese 317</t>
  </si>
  <si>
    <t>Gliese 317 b</t>
  </si>
  <si>
    <t>HD3651 B</t>
  </si>
  <si>
    <t>54 Piscum</t>
  </si>
  <si>
    <t>Rocky</t>
  </si>
  <si>
    <t>Rocky w gas</t>
  </si>
  <si>
    <t>Rocky w water + gas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</si>
</sst>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b/>
      <sz val="10"/>
      <name val="Arial"/>
      <family val="2"/>
    </font>
    <font>
      <u val="single"/>
      <sz val="10"/>
      <color indexed="12"/>
      <name val="Arial"/>
      <family val="0"/>
    </font>
    <font>
      <b/>
      <sz val="8"/>
      <name val="Arial"/>
      <family val="0"/>
    </font>
    <font>
      <sz val="8"/>
      <color indexed="8"/>
      <name val="Arial"/>
      <family val="0"/>
    </font>
  </fonts>
  <fills count="13">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0" fillId="2" borderId="0" xfId="0" applyFill="1" applyAlignment="1">
      <alignment/>
    </xf>
    <xf numFmtId="0" fontId="0" fillId="3" borderId="0" xfId="0" applyFill="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3" fillId="0" borderId="0" xfId="19" applyAlignment="1">
      <alignment/>
    </xf>
    <xf numFmtId="0" fontId="4" fillId="0" borderId="1" xfId="0" applyFont="1" applyBorder="1" applyAlignment="1">
      <alignment/>
    </xf>
    <xf numFmtId="0" fontId="1" fillId="0" borderId="1" xfId="0" applyFont="1" applyBorder="1" applyAlignment="1">
      <alignment/>
    </xf>
    <xf numFmtId="0" fontId="1" fillId="2" borderId="1" xfId="0" applyFont="1" applyFill="1" applyBorder="1" applyAlignment="1">
      <alignment/>
    </xf>
    <xf numFmtId="0" fontId="4" fillId="2" borderId="1" xfId="0" applyFont="1" applyFill="1" applyBorder="1" applyAlignment="1">
      <alignment/>
    </xf>
    <xf numFmtId="0" fontId="1" fillId="6" borderId="1" xfId="0" applyFont="1" applyFill="1" applyBorder="1" applyAlignment="1">
      <alignment/>
    </xf>
    <xf numFmtId="0" fontId="1" fillId="5" borderId="1" xfId="0" applyFont="1" applyFill="1" applyBorder="1" applyAlignment="1">
      <alignment/>
    </xf>
    <xf numFmtId="0" fontId="1" fillId="4" borderId="1" xfId="0" applyFont="1" applyFill="1" applyBorder="1" applyAlignment="1">
      <alignment/>
    </xf>
    <xf numFmtId="0" fontId="1" fillId="8" borderId="1" xfId="0" applyFont="1" applyFill="1" applyBorder="1" applyAlignment="1">
      <alignment/>
    </xf>
    <xf numFmtId="0" fontId="1" fillId="9" borderId="1" xfId="0" applyFont="1" applyFill="1" applyBorder="1" applyAlignment="1">
      <alignment/>
    </xf>
    <xf numFmtId="0" fontId="1" fillId="7" borderId="1" xfId="0" applyFont="1" applyFill="1" applyBorder="1" applyAlignment="1">
      <alignment/>
    </xf>
    <xf numFmtId="0" fontId="1" fillId="0" borderId="1" xfId="0" applyFont="1" applyFill="1" applyBorder="1" applyAlignment="1">
      <alignment/>
    </xf>
    <xf numFmtId="0" fontId="4" fillId="0" borderId="1" xfId="0" applyFont="1" applyFill="1" applyBorder="1" applyAlignment="1">
      <alignment/>
    </xf>
    <xf numFmtId="0" fontId="1" fillId="10" borderId="1" xfId="0" applyFont="1" applyFill="1" applyBorder="1" applyAlignment="1">
      <alignment/>
    </xf>
    <xf numFmtId="0" fontId="4" fillId="3" borderId="1" xfId="0" applyFont="1" applyFill="1" applyBorder="1" applyAlignment="1">
      <alignment/>
    </xf>
    <xf numFmtId="0" fontId="1" fillId="3" borderId="1" xfId="0" applyFont="1" applyFill="1" applyBorder="1" applyAlignment="1">
      <alignment/>
    </xf>
    <xf numFmtId="0" fontId="1" fillId="11" borderId="1" xfId="0" applyFont="1" applyFill="1" applyBorder="1" applyAlignment="1">
      <alignment/>
    </xf>
    <xf numFmtId="3" fontId="1" fillId="3" borderId="1" xfId="0" applyNumberFormat="1" applyFont="1" applyFill="1" applyBorder="1" applyAlignment="1">
      <alignment/>
    </xf>
    <xf numFmtId="0" fontId="4" fillId="12" borderId="1" xfId="0" applyFont="1" applyFill="1" applyBorder="1" applyAlignment="1">
      <alignment/>
    </xf>
    <xf numFmtId="0" fontId="1" fillId="12" borderId="1" xfId="0" applyFont="1" applyFill="1" applyBorder="1" applyAlignment="1">
      <alignment/>
    </xf>
    <xf numFmtId="0" fontId="0" fillId="12" borderId="0" xfId="0" applyFill="1" applyAlignment="1">
      <alignment/>
    </xf>
    <xf numFmtId="0" fontId="5" fillId="12" borderId="1" xfId="0" applyFont="1" applyFill="1" applyBorder="1" applyAlignment="1">
      <alignment/>
    </xf>
    <xf numFmtId="0" fontId="5" fillId="2" borderId="1" xfId="0" applyFont="1" applyFill="1" applyBorder="1" applyAlignment="1">
      <alignment/>
    </xf>
    <xf numFmtId="0" fontId="5" fillId="0" borderId="1" xfId="0" applyFont="1" applyFill="1" applyBorder="1" applyAlignment="1">
      <alignment/>
    </xf>
    <xf numFmtId="3" fontId="1" fillId="7" borderId="1" xfId="0" applyNumberFormat="1"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dsbit.harvard.edu/cgi-bin/nph-iarticle_query?1997AJ....113.1445W" TargetMode="External" /></Relationships>
</file>

<file path=xl/worksheets/sheet1.xml><?xml version="1.0" encoding="utf-8"?>
<worksheet xmlns="http://schemas.openxmlformats.org/spreadsheetml/2006/main" xmlns:r="http://schemas.openxmlformats.org/officeDocument/2006/relationships">
  <dimension ref="A1:O210"/>
  <sheetViews>
    <sheetView tabSelected="1" workbookViewId="0" topLeftCell="A1">
      <pane ySplit="3" topLeftCell="BM177" activePane="bottomLeft" state="frozen"/>
      <selection pane="topLeft" activeCell="A1" sqref="A1"/>
      <selection pane="bottomLeft" activeCell="N210" sqref="N210"/>
    </sheetView>
  </sheetViews>
  <sheetFormatPr defaultColWidth="9.140625" defaultRowHeight="12.75"/>
  <cols>
    <col min="1" max="1" width="6.8515625" style="15" bestFit="1" customWidth="1"/>
    <col min="2" max="2" width="23.8515625" style="15" customWidth="1"/>
    <col min="3" max="3" width="12.140625" style="15" bestFit="1" customWidth="1"/>
    <col min="4" max="4" width="10.421875" style="15" customWidth="1"/>
    <col min="5" max="5" width="6.7109375" style="15" customWidth="1"/>
    <col min="6" max="6" width="5.28125" style="15" customWidth="1"/>
    <col min="7" max="7" width="6.7109375" style="15" customWidth="1"/>
    <col min="8" max="8" width="11.7109375" style="15" customWidth="1"/>
    <col min="9" max="9" width="10.57421875" style="15" customWidth="1"/>
    <col min="10" max="10" width="11.8515625" style="15" customWidth="1"/>
    <col min="11" max="11" width="9.140625" style="15" customWidth="1"/>
    <col min="12" max="12" width="12.421875" style="15" bestFit="1" customWidth="1"/>
    <col min="13" max="13" width="9.140625" style="15" customWidth="1"/>
    <col min="14" max="14" width="10.140625" style="15" bestFit="1" customWidth="1"/>
    <col min="15" max="16384" width="9.140625" style="15" customWidth="1"/>
  </cols>
  <sheetData>
    <row r="1" ht="11.25">
      <c r="D1" s="14" t="s">
        <v>212</v>
      </c>
    </row>
    <row r="2" spans="1:13" ht="11.25">
      <c r="A2" s="14" t="s">
        <v>134</v>
      </c>
      <c r="B2" s="14" t="s">
        <v>131</v>
      </c>
      <c r="C2" s="14" t="s">
        <v>136</v>
      </c>
      <c r="D2" s="14" t="s">
        <v>138</v>
      </c>
      <c r="E2" s="14" t="s">
        <v>139</v>
      </c>
      <c r="F2" s="14" t="s">
        <v>140</v>
      </c>
      <c r="G2" s="14" t="s">
        <v>4</v>
      </c>
      <c r="H2" s="14" t="s">
        <v>110</v>
      </c>
      <c r="I2" s="14" t="s">
        <v>155</v>
      </c>
      <c r="J2" s="14" t="s">
        <v>133</v>
      </c>
      <c r="K2" s="14" t="s">
        <v>3</v>
      </c>
      <c r="L2" s="14" t="s">
        <v>108</v>
      </c>
      <c r="M2" s="14" t="s">
        <v>109</v>
      </c>
    </row>
    <row r="3" spans="1:11" ht="11.25">
      <c r="A3" s="14" t="s">
        <v>135</v>
      </c>
      <c r="B3" s="14"/>
      <c r="C3" s="14" t="s">
        <v>137</v>
      </c>
      <c r="D3" s="14"/>
      <c r="E3" s="14"/>
      <c r="F3" s="14"/>
      <c r="G3" s="14"/>
      <c r="H3" s="14" t="s">
        <v>200</v>
      </c>
      <c r="I3" s="14"/>
      <c r="J3" s="14" t="s">
        <v>141</v>
      </c>
      <c r="K3" s="14"/>
    </row>
    <row r="4" spans="2:13" s="16" customFormat="1" ht="11.25">
      <c r="B4" s="17" t="s">
        <v>84</v>
      </c>
      <c r="C4" s="16">
        <v>0</v>
      </c>
      <c r="D4" s="16">
        <v>0</v>
      </c>
      <c r="E4" s="16">
        <v>0</v>
      </c>
      <c r="F4" s="16">
        <v>0</v>
      </c>
      <c r="G4" s="16">
        <f>(D4+E4/60+F4/3600)*15</f>
        <v>0</v>
      </c>
      <c r="H4" s="16" t="s">
        <v>2</v>
      </c>
      <c r="I4" s="16">
        <f>(0.95+1.37)/2</f>
        <v>1.1600000000000001</v>
      </c>
      <c r="J4" s="16" t="s">
        <v>1</v>
      </c>
      <c r="K4" s="26">
        <f>ROUND((I4*(IF(I4&lt;=1,50,(IF(I4&lt;=10,2.5,IF(I4&lt;=100,1.25,0.625)))))+(IF(I4&lt;=1,0,(IF(I4&lt;=10,50,IF(I4&lt;=100,75,200))))))*COS(RADIANS(0)),0)</f>
        <v>53</v>
      </c>
      <c r="L4" s="16">
        <f>SIN(RADIANS(G4))*C4*Reference!B3+Reference!B2</f>
        <v>5000</v>
      </c>
      <c r="M4" s="16">
        <f>COS(RADIANS(G4))*C4*Reference!B3+Reference!C2</f>
        <v>5000</v>
      </c>
    </row>
    <row r="5" spans="1:13" s="18" customFormat="1" ht="11.25">
      <c r="A5" s="18">
        <v>1</v>
      </c>
      <c r="B5" s="18" t="s">
        <v>132</v>
      </c>
      <c r="C5" s="18">
        <v>0.4</v>
      </c>
      <c r="D5" s="18">
        <v>3</v>
      </c>
      <c r="G5" s="18">
        <f>(D5+E5/60+F5/3600)*15</f>
        <v>45</v>
      </c>
      <c r="H5" s="18" t="s">
        <v>147</v>
      </c>
      <c r="J5" s="18" t="s">
        <v>132</v>
      </c>
      <c r="L5" s="18">
        <f>ROUND((C5*(IF(C5&lt;=1,50,(IF(C5&lt;=10,2.5,IF(C5&lt;=100,1.25,0.625)))))+(IF(C5&lt;=1,0,(IF(C5&lt;=10,50,IF(C5&lt;=100,75,200))))))*SIN(RADIANS(G5))+$L$4,0)</f>
        <v>5014</v>
      </c>
      <c r="M5" s="18">
        <f>ROUND((C5*(IF(C5&lt;=1,50,(IF(C5&lt;=10,2.5,IF(C5&lt;=100,1.25,0.625)))))+(IF(C5&lt;=1,0,(IF(C5&lt;=10,50,IF(C5&lt;=100,75,200))))))*COS(RADIANS(G5))+$M$4,0)</f>
        <v>5014</v>
      </c>
    </row>
    <row r="6" spans="1:13" s="18" customFormat="1" ht="11.25">
      <c r="A6" s="18">
        <v>2</v>
      </c>
      <c r="B6" s="18" t="s">
        <v>142</v>
      </c>
      <c r="C6" s="18">
        <v>0.7</v>
      </c>
      <c r="D6" s="18">
        <v>6</v>
      </c>
      <c r="G6" s="18">
        <f>(D6+E6/60+F6/3600)*15</f>
        <v>90</v>
      </c>
      <c r="H6" s="18" t="s">
        <v>148</v>
      </c>
      <c r="J6" s="18" t="s">
        <v>142</v>
      </c>
      <c r="L6" s="18">
        <f>ROUND((C6*(IF(C6&lt;=1,50,(IF(C6&lt;=10,2.5,IF(C6&lt;=100,1.25,0.625)))))+(IF(C6&lt;=1,0,(IF(C6&lt;=10,50,IF(C6&lt;=100,75,200))))))*SIN(RADIANS(G6))+$L$4,0)</f>
        <v>5035</v>
      </c>
      <c r="M6" s="18">
        <f>ROUND((C6*(IF(C6&lt;=1,50,(IF(C6&lt;=10,2.5,IF(C6&lt;=100,1.25,0.625)))))+(IF(C6&lt;=1,0,(IF(C6&lt;=10,50,IF(C6&lt;=100,75,200))))))*COS(RADIANS(G6))+$M$4,0)</f>
        <v>5000</v>
      </c>
    </row>
    <row r="7" spans="1:13" s="19" customFormat="1" ht="11.25">
      <c r="A7" s="19">
        <v>3</v>
      </c>
      <c r="B7" s="19" t="s">
        <v>143</v>
      </c>
      <c r="C7" s="19">
        <v>1</v>
      </c>
      <c r="D7" s="19">
        <v>9</v>
      </c>
      <c r="G7" s="19">
        <f>(D7+E7/60+F7/3600)*15</f>
        <v>135</v>
      </c>
      <c r="H7" s="19" t="s">
        <v>149</v>
      </c>
      <c r="J7" s="19" t="s">
        <v>143</v>
      </c>
      <c r="L7" s="19">
        <f>ROUND((C7*(IF(C7&lt;=1,50,(IF(C7&lt;=10,2.5,IF(C7&lt;=100,1.25,0.625)))))+(IF(C7&lt;=1,0,(IF(C7&lt;=10,50,IF(C7&lt;=100,75,200))))))*SIN(RADIANS(G7))+$L$4,0)</f>
        <v>5035</v>
      </c>
      <c r="M7" s="19">
        <f>ROUND((C7*(IF(C7&lt;=1,50,(IF(C7&lt;=10,2.5,IF(C7&lt;=100,1.25,0.625)))))+(IF(C7&lt;=1,0,(IF(C7&lt;=10,50,IF(C7&lt;=100,75,200))))))*COS(RADIANS(G7))+$M$4,0)</f>
        <v>4965</v>
      </c>
    </row>
    <row r="8" spans="1:13" s="20" customFormat="1" ht="11.25">
      <c r="A8" s="20">
        <v>17</v>
      </c>
      <c r="B8" s="20" t="s">
        <v>163</v>
      </c>
      <c r="J8" s="20" t="s">
        <v>164</v>
      </c>
      <c r="L8" s="20">
        <f>L7+20</f>
        <v>5055</v>
      </c>
      <c r="M8" s="20">
        <f>M7</f>
        <v>4965</v>
      </c>
    </row>
    <row r="9" spans="1:13" s="19" customFormat="1" ht="11.25">
      <c r="A9" s="19">
        <v>4</v>
      </c>
      <c r="B9" s="19" t="s">
        <v>144</v>
      </c>
      <c r="C9" s="19">
        <v>1.5</v>
      </c>
      <c r="D9" s="19">
        <v>12</v>
      </c>
      <c r="G9" s="19">
        <f>(D9+E9/60+F9/3600)*15</f>
        <v>180</v>
      </c>
      <c r="H9" s="19" t="s">
        <v>150</v>
      </c>
      <c r="J9" s="19" t="s">
        <v>144</v>
      </c>
      <c r="L9" s="19">
        <f>ROUND((C9*(IF(C9&lt;=1,50,(IF(C9&lt;=10,2.5,IF(C9&lt;=100,1.25,0.625)))))+(IF(C9&lt;=1,0,(IF(C9&lt;=10,50,IF(C9&lt;=100,75,200))))))*SIN(RADIANS(G9))+$L$4,0)</f>
        <v>5000</v>
      </c>
      <c r="M9" s="19">
        <f>ROUND((C9*(IF(C9&lt;=1,50,(IF(C9&lt;=10,2.5,IF(C9&lt;=100,1.25,0.625)))))+(IF(C9&lt;=1,0,(IF(C9&lt;=10,50,IF(C9&lt;=100,75,200))))))*COS(RADIANS(G9))+$M$4,0)</f>
        <v>4946</v>
      </c>
    </row>
    <row r="10" spans="1:13" s="21" customFormat="1" ht="11.25">
      <c r="A10" s="21">
        <v>5</v>
      </c>
      <c r="B10" s="21" t="s">
        <v>151</v>
      </c>
      <c r="C10" s="21">
        <v>2.3</v>
      </c>
      <c r="D10" s="21">
        <v>15</v>
      </c>
      <c r="G10" s="21">
        <f>(D10+E10/60+F10/3600)*15</f>
        <v>225</v>
      </c>
      <c r="J10" s="21" t="s">
        <v>151</v>
      </c>
      <c r="L10" s="21">
        <f>ROUND((C10*(IF(C10&lt;=1,50,(IF(C10&lt;=10,2.5,IF(C10&lt;=100,1.25,0.625)))))+(IF(C10&lt;=1,0,(IF(C10&lt;=10,50,IF(C10&lt;=100,75,200))))))*SIN(RADIANS(G10))+$L$4,0)</f>
        <v>4961</v>
      </c>
      <c r="M10" s="21">
        <f>ROUND((C10*(IF(C10&lt;=1,50,(IF(C10&lt;=10,2.5,IF(C10&lt;=100,1.25,0.625)))))+(IF(C10&lt;=1,0,(IF(C10&lt;=10,50,IF(C10&lt;=100,75,200))))))*COS(RADIANS(G10))+$M$4,0)</f>
        <v>4961</v>
      </c>
    </row>
    <row r="11" spans="1:13" s="22" customFormat="1" ht="11.25">
      <c r="A11" s="22">
        <v>6</v>
      </c>
      <c r="B11" s="22" t="s">
        <v>165</v>
      </c>
      <c r="C11" s="22">
        <v>2.77</v>
      </c>
      <c r="D11" s="22">
        <v>18</v>
      </c>
      <c r="G11" s="22">
        <f>(D11+E11/60+F11/3600)*15</f>
        <v>270</v>
      </c>
      <c r="H11" s="22" t="s">
        <v>166</v>
      </c>
      <c r="J11" s="22" t="s">
        <v>165</v>
      </c>
      <c r="L11" s="22">
        <f>ROUND((C11*(IF(C11&lt;=1,50,(IF(C11&lt;=10,2.5,IF(C11&lt;=100,1.25,0.625)))))+(IF(C11&lt;=1,0,(IF(C11&lt;=10,50,IF(C11&lt;=100,75,200))))))*SIN(RADIANS(G11))+$L$4,0)</f>
        <v>4943</v>
      </c>
      <c r="M11" s="22">
        <f>ROUND((C11*(IF(C11&lt;=1,50,(IF(C11&lt;=10,2.5,IF(C11&lt;=100,1.25,0.625)))))+(IF(C11&lt;=1,0,(IF(C11&lt;=10,50,IF(C11&lt;=100,75,200))))))*COS(RADIANS(G11))+$M$4,0)</f>
        <v>5000</v>
      </c>
    </row>
    <row r="12" spans="2:13" s="23" customFormat="1" ht="11.25">
      <c r="B12" s="23" t="s">
        <v>203</v>
      </c>
      <c r="L12" s="23">
        <f>L10+10</f>
        <v>4971</v>
      </c>
      <c r="M12" s="23">
        <f>M10-10</f>
        <v>4951</v>
      </c>
    </row>
    <row r="13" spans="2:13" s="23" customFormat="1" ht="11.25">
      <c r="B13" s="23" t="s">
        <v>204</v>
      </c>
      <c r="L13" s="23">
        <f>L10</f>
        <v>4961</v>
      </c>
      <c r="M13" s="23">
        <f>M10-20</f>
        <v>4941</v>
      </c>
    </row>
    <row r="14" spans="2:13" s="23" customFormat="1" ht="11.25">
      <c r="B14" s="23" t="s">
        <v>205</v>
      </c>
      <c r="L14" s="23">
        <f>L10-20</f>
        <v>4941</v>
      </c>
      <c r="M14" s="23">
        <f>M10</f>
        <v>4961</v>
      </c>
    </row>
    <row r="15" spans="2:13" s="23" customFormat="1" ht="11.25">
      <c r="B15" s="23" t="s">
        <v>206</v>
      </c>
      <c r="L15" s="23">
        <f>L10-10</f>
        <v>4951</v>
      </c>
      <c r="M15" s="23">
        <f>M10+10</f>
        <v>4971</v>
      </c>
    </row>
    <row r="16" spans="1:13" s="18" customFormat="1" ht="11.25">
      <c r="A16" s="18">
        <v>7</v>
      </c>
      <c r="B16" s="18" t="s">
        <v>145</v>
      </c>
      <c r="C16" s="18">
        <v>5.2</v>
      </c>
      <c r="D16" s="18">
        <v>21</v>
      </c>
      <c r="G16" s="18">
        <f>(D16+E16/60+F16/3600)*15</f>
        <v>315</v>
      </c>
      <c r="H16" s="18" t="s">
        <v>173</v>
      </c>
      <c r="J16" s="18" t="s">
        <v>145</v>
      </c>
      <c r="L16" s="18">
        <f>ROUND((C16*(IF(C16&lt;=1,50,(IF(C16&lt;=10,2.5,IF(C16&lt;=100,1.25,0.625)))))+(IF(C16&lt;=1,0,(IF(C16&lt;=10,50,IF(C16&lt;=100,75,200))))))*SIN(RADIANS(G16))+$L$4,0)</f>
        <v>4955</v>
      </c>
      <c r="M16" s="18">
        <f>ROUND((C16*(IF(C16&lt;=1,50,(IF(C16&lt;=10,2.5,IF(C16&lt;=100,1.25,0.625)))))+(IF(C16&lt;=1,0,(IF(C16&lt;=10,50,IF(C16&lt;=100,75,200))))))*COS(RADIANS(G16))+$M$4,0)</f>
        <v>5045</v>
      </c>
    </row>
    <row r="17" spans="1:13" s="23" customFormat="1" ht="11.25">
      <c r="A17" s="23">
        <v>18</v>
      </c>
      <c r="B17" s="23" t="s">
        <v>174</v>
      </c>
      <c r="L17" s="23">
        <f>L16</f>
        <v>4955</v>
      </c>
      <c r="M17" s="23">
        <f>M16-20</f>
        <v>5025</v>
      </c>
    </row>
    <row r="18" spans="1:13" s="23" customFormat="1" ht="11.25">
      <c r="A18" s="23">
        <v>19</v>
      </c>
      <c r="B18" s="23" t="s">
        <v>177</v>
      </c>
      <c r="L18" s="23">
        <f>L16-20</f>
        <v>4935</v>
      </c>
      <c r="M18" s="23">
        <f>M16</f>
        <v>5045</v>
      </c>
    </row>
    <row r="19" spans="1:13" s="23" customFormat="1" ht="11.25">
      <c r="A19" s="23">
        <v>20</v>
      </c>
      <c r="B19" s="23" t="s">
        <v>175</v>
      </c>
      <c r="L19" s="23">
        <f>L16</f>
        <v>4955</v>
      </c>
      <c r="M19" s="23">
        <f>M16+20</f>
        <v>5065</v>
      </c>
    </row>
    <row r="20" spans="1:13" s="23" customFormat="1" ht="11.25">
      <c r="A20" s="23">
        <v>21</v>
      </c>
      <c r="B20" s="23" t="s">
        <v>176</v>
      </c>
      <c r="L20" s="23">
        <f>L16+20</f>
        <v>4975</v>
      </c>
      <c r="M20" s="23">
        <f>M16</f>
        <v>5045</v>
      </c>
    </row>
    <row r="21" spans="1:13" s="18" customFormat="1" ht="11.25">
      <c r="A21" s="18">
        <v>8</v>
      </c>
      <c r="B21" s="18" t="s">
        <v>96</v>
      </c>
      <c r="C21" s="18">
        <v>9.5</v>
      </c>
      <c r="D21" s="18">
        <v>0</v>
      </c>
      <c r="G21" s="18">
        <f>(D21+E21/60+F21/3600)*15</f>
        <v>0</v>
      </c>
      <c r="H21" s="18" t="s">
        <v>178</v>
      </c>
      <c r="J21" s="18" t="s">
        <v>96</v>
      </c>
      <c r="L21" s="18">
        <f>ROUND((C21*(IF(C21&lt;=1,50,(IF(C21&lt;=10,2.5,IF(C21&lt;=100,1.25,0.625)))))+(IF(C21&lt;=1,0,(IF(C21&lt;=10,50,IF(C21&lt;=100,75,200))))))*SIN(RADIANS(G21))+$L$4,0)</f>
        <v>5000</v>
      </c>
      <c r="M21" s="18">
        <f>ROUND((C21*(IF(C21&lt;=1,50,(IF(C21&lt;=10,2.5,IF(C21&lt;=100,1.25,0.625)))))+(IF(C21&lt;=1,0,(IF(C21&lt;=10,50,IF(C21&lt;=100,75,200))))))*COS(RADIANS(G21))+$M$4,0)</f>
        <v>5074</v>
      </c>
    </row>
    <row r="22" spans="1:13" s="23" customFormat="1" ht="11.25">
      <c r="A22" s="23">
        <v>34</v>
      </c>
      <c r="B22" s="23" t="s">
        <v>202</v>
      </c>
      <c r="L22" s="23">
        <f>L21-15</f>
        <v>4985</v>
      </c>
      <c r="M22" s="23">
        <f>M21</f>
        <v>5074</v>
      </c>
    </row>
    <row r="23" s="24" customFormat="1" ht="11.25">
      <c r="B23" s="24" t="s">
        <v>207</v>
      </c>
    </row>
    <row r="24" spans="1:13" s="23" customFormat="1" ht="11.25">
      <c r="A24" s="23">
        <v>35</v>
      </c>
      <c r="B24" s="23" t="s">
        <v>179</v>
      </c>
      <c r="L24" s="23">
        <f>L22+5</f>
        <v>4990</v>
      </c>
      <c r="M24" s="23">
        <f>M22-5</f>
        <v>5069</v>
      </c>
    </row>
    <row r="25" spans="1:13" s="23" customFormat="1" ht="11.25">
      <c r="A25" s="23">
        <v>36</v>
      </c>
      <c r="B25" s="23" t="s">
        <v>180</v>
      </c>
      <c r="H25" s="23" t="s">
        <v>181</v>
      </c>
      <c r="L25" s="23">
        <f>L22-5</f>
        <v>4980</v>
      </c>
      <c r="M25" s="23">
        <f>M22-5</f>
        <v>5069</v>
      </c>
    </row>
    <row r="26" spans="1:13" s="23" customFormat="1" ht="11.25">
      <c r="A26" s="23">
        <v>22</v>
      </c>
      <c r="B26" s="23" t="s">
        <v>182</v>
      </c>
      <c r="L26" s="23">
        <f>L22-5</f>
        <v>4980</v>
      </c>
      <c r="M26" s="23">
        <f>M22+5</f>
        <v>5079</v>
      </c>
    </row>
    <row r="27" spans="1:13" s="23" customFormat="1" ht="11.25">
      <c r="A27" s="23">
        <v>23</v>
      </c>
      <c r="B27" s="23" t="s">
        <v>183</v>
      </c>
      <c r="L27" s="23">
        <f>L22+5</f>
        <v>4990</v>
      </c>
      <c r="M27" s="23">
        <f>M22+5</f>
        <v>5079</v>
      </c>
    </row>
    <row r="28" s="24" customFormat="1" ht="11.25">
      <c r="B28" s="24" t="s">
        <v>208</v>
      </c>
    </row>
    <row r="29" spans="1:13" s="23" customFormat="1" ht="11.25">
      <c r="A29" s="23">
        <v>24</v>
      </c>
      <c r="B29" s="23" t="s">
        <v>184</v>
      </c>
      <c r="L29" s="23">
        <f>L21</f>
        <v>5000</v>
      </c>
      <c r="M29" s="23">
        <f>M21+20</f>
        <v>5094</v>
      </c>
    </row>
    <row r="30" spans="1:13" s="23" customFormat="1" ht="11.25">
      <c r="A30" s="23">
        <v>25</v>
      </c>
      <c r="B30" s="23" t="s">
        <v>185</v>
      </c>
      <c r="H30" s="23" t="s">
        <v>187</v>
      </c>
      <c r="L30" s="23">
        <f>L21+15</f>
        <v>5015</v>
      </c>
      <c r="M30" s="23">
        <f>M21+10</f>
        <v>5084</v>
      </c>
    </row>
    <row r="31" spans="1:13" s="23" customFormat="1" ht="11.25">
      <c r="A31" s="23">
        <v>26</v>
      </c>
      <c r="B31" s="23" t="s">
        <v>186</v>
      </c>
      <c r="L31" s="23">
        <f>L21+15</f>
        <v>5015</v>
      </c>
      <c r="M31" s="23">
        <f>M21-10</f>
        <v>5064</v>
      </c>
    </row>
    <row r="32" spans="1:13" s="18" customFormat="1" ht="11.25">
      <c r="A32" s="18">
        <v>9</v>
      </c>
      <c r="B32" s="18" t="s">
        <v>107</v>
      </c>
      <c r="C32" s="18">
        <v>19.6</v>
      </c>
      <c r="D32" s="18">
        <v>4</v>
      </c>
      <c r="G32" s="18">
        <f>(D32+E32/60+F32/3600)*15</f>
        <v>60</v>
      </c>
      <c r="H32" s="18" t="s">
        <v>188</v>
      </c>
      <c r="J32" s="18" t="s">
        <v>107</v>
      </c>
      <c r="L32" s="18">
        <f>ROUND((C32*(IF(C32&lt;=1,50,(IF(C32&lt;=10,2.5,IF(C32&lt;=100,1.25,0.625)))))+(IF(C32&lt;=1,0,(IF(C32&lt;=10,50,IF(C32&lt;=100,75,200))))))*SIN(RADIANS(G32))+$L$4,0)</f>
        <v>5086</v>
      </c>
      <c r="M32" s="18">
        <f>ROUND((C32*(IF(C32&lt;=1,50,(IF(C32&lt;=10,2.5,IF(C32&lt;=100,1.25,0.625)))))+(IF(C32&lt;=1,0,(IF(C32&lt;=10,50,IF(C32&lt;=100,75,200))))))*COS(RADIANS(G32))+$M$4,0)</f>
        <v>5050</v>
      </c>
    </row>
    <row r="33" spans="1:13" s="23" customFormat="1" ht="11.25">
      <c r="A33" s="23">
        <v>27</v>
      </c>
      <c r="B33" s="23" t="s">
        <v>190</v>
      </c>
      <c r="L33" s="23">
        <f>L32-10</f>
        <v>5076</v>
      </c>
      <c r="M33" s="23">
        <f>M32+10</f>
        <v>5060</v>
      </c>
    </row>
    <row r="34" spans="1:13" s="23" customFormat="1" ht="11.25">
      <c r="A34" s="23">
        <v>28</v>
      </c>
      <c r="B34" s="23" t="s">
        <v>191</v>
      </c>
      <c r="L34" s="23">
        <f>L32</f>
        <v>5086</v>
      </c>
      <c r="M34" s="23">
        <f>M32+20</f>
        <v>5070</v>
      </c>
    </row>
    <row r="35" spans="1:13" s="23" customFormat="1" ht="11.25">
      <c r="A35" s="23">
        <v>29</v>
      </c>
      <c r="B35" s="23" t="s">
        <v>192</v>
      </c>
      <c r="L35" s="23">
        <f>L32+10</f>
        <v>5096</v>
      </c>
      <c r="M35" s="23">
        <f>M32+10</f>
        <v>5060</v>
      </c>
    </row>
    <row r="36" spans="1:13" s="23" customFormat="1" ht="11.25">
      <c r="A36" s="23">
        <v>30</v>
      </c>
      <c r="B36" s="23" t="s">
        <v>193</v>
      </c>
      <c r="L36" s="23">
        <f>L32+20</f>
        <v>5106</v>
      </c>
      <c r="M36" s="23">
        <f>M32</f>
        <v>5050</v>
      </c>
    </row>
    <row r="37" spans="1:13" s="23" customFormat="1" ht="11.25">
      <c r="A37" s="23">
        <v>31</v>
      </c>
      <c r="B37" s="23" t="s">
        <v>194</v>
      </c>
      <c r="L37" s="23">
        <f>L32+10</f>
        <v>5096</v>
      </c>
      <c r="M37" s="23">
        <f>M32-10</f>
        <v>5040</v>
      </c>
    </row>
    <row r="38" spans="1:13" s="18" customFormat="1" ht="11.25">
      <c r="A38" s="18">
        <v>10</v>
      </c>
      <c r="B38" s="18" t="s">
        <v>146</v>
      </c>
      <c r="C38" s="18">
        <v>30</v>
      </c>
      <c r="D38" s="18">
        <v>7</v>
      </c>
      <c r="G38" s="18">
        <f>(D38+E38/60+F38/3600)*15</f>
        <v>105</v>
      </c>
      <c r="H38" s="18" t="s">
        <v>189</v>
      </c>
      <c r="J38" s="18" t="s">
        <v>146</v>
      </c>
      <c r="L38" s="18">
        <f>ROUND((C38*(IF(C38&lt;=1,50,(IF(C38&lt;=10,2.5,IF(C38&lt;=100,1.25,0.625)))))+(IF(C38&lt;=1,0,(IF(C38&lt;=10,50,IF(C38&lt;=100,75,200))))))*SIN(RADIANS(G38))+$L$4,0)</f>
        <v>5109</v>
      </c>
      <c r="M38" s="18">
        <f>ROUND((C38*(IF(C38&lt;=1,50,(IF(C38&lt;=10,2.5,IF(C38&lt;=100,1.25,0.625)))))+(IF(C38&lt;=1,0,(IF(C38&lt;=10,50,IF(C38&lt;=100,75,200))))))*COS(RADIANS(G38))+$M$4,0)</f>
        <v>4971</v>
      </c>
    </row>
    <row r="39" spans="1:13" s="23" customFormat="1" ht="11.25">
      <c r="A39" s="23">
        <v>32</v>
      </c>
      <c r="B39" s="23" t="s">
        <v>195</v>
      </c>
      <c r="L39" s="23">
        <f>L38</f>
        <v>5109</v>
      </c>
      <c r="M39" s="23">
        <f>M38-20</f>
        <v>4951</v>
      </c>
    </row>
    <row r="40" spans="1:13" s="23" customFormat="1" ht="11.25">
      <c r="A40" s="23">
        <v>33</v>
      </c>
      <c r="B40" s="23" t="s">
        <v>201</v>
      </c>
      <c r="L40" s="23">
        <f>L38</f>
        <v>5109</v>
      </c>
      <c r="M40" s="23">
        <f>M38+20</f>
        <v>4991</v>
      </c>
    </row>
    <row r="41" spans="1:13" s="21" customFormat="1" ht="11.25">
      <c r="A41" s="21">
        <v>11</v>
      </c>
      <c r="B41" s="21" t="s">
        <v>172</v>
      </c>
      <c r="C41" s="21">
        <v>30</v>
      </c>
      <c r="D41" s="21">
        <v>10</v>
      </c>
      <c r="G41" s="21">
        <f>(D41+E41/60+F41/3600)*15</f>
        <v>150</v>
      </c>
      <c r="J41" s="21" t="s">
        <v>151</v>
      </c>
      <c r="L41" s="21">
        <f>ROUND((C41*(IF(C41&lt;=1,50,(IF(C41&lt;=10,2.5,IF(C41&lt;=100,1.25,0.625)))))+(IF(C41&lt;=1,0,(IF(C41&lt;=10,50,IF(C41&lt;=100,75,200))))))*SIN(RADIANS(G41))+$L$4,0)</f>
        <v>5056</v>
      </c>
      <c r="M41" s="21">
        <f>ROUND((C41*(IF(C41&lt;=1,50,(IF(C41&lt;=10,2.5,IF(C41&lt;=100,1.25,0.625)))))+(IF(C41&lt;=1,0,(IF(C41&lt;=10,50,IF(C41&lt;=100,75,200))))))*COS(RADIANS(G41))+$M$4,0)</f>
        <v>4903</v>
      </c>
    </row>
    <row r="42" spans="2:13" s="23" customFormat="1" ht="11.25">
      <c r="B42" s="23" t="s">
        <v>315</v>
      </c>
      <c r="C42" s="23">
        <v>34.419</v>
      </c>
      <c r="L42" s="37">
        <f>L41</f>
        <v>5056</v>
      </c>
      <c r="M42" s="23">
        <f>M41+20</f>
        <v>4923</v>
      </c>
    </row>
    <row r="43" spans="2:13" s="23" customFormat="1" ht="11.25">
      <c r="B43" s="23" t="s">
        <v>316</v>
      </c>
      <c r="C43" s="23">
        <v>39.68</v>
      </c>
      <c r="L43" s="23">
        <f>L41+10</f>
        <v>5066</v>
      </c>
      <c r="M43" s="23">
        <f>M41+10</f>
        <v>4913</v>
      </c>
    </row>
    <row r="44" spans="2:13" s="23" customFormat="1" ht="11.25">
      <c r="B44" s="23" t="s">
        <v>317</v>
      </c>
      <c r="C44" s="23">
        <v>43.13</v>
      </c>
      <c r="L44" s="23">
        <f>L41+20</f>
        <v>5076</v>
      </c>
      <c r="M44" s="23">
        <f>M41</f>
        <v>4903</v>
      </c>
    </row>
    <row r="45" spans="2:13" s="23" customFormat="1" ht="11.25">
      <c r="B45" s="23" t="s">
        <v>318</v>
      </c>
      <c r="C45" s="23">
        <v>43.6</v>
      </c>
      <c r="L45" s="23">
        <f>L41+10</f>
        <v>5066</v>
      </c>
      <c r="M45" s="23">
        <f>M41-10</f>
        <v>4893</v>
      </c>
    </row>
    <row r="46" spans="1:13" s="22" customFormat="1" ht="11.25">
      <c r="A46" s="22">
        <v>12</v>
      </c>
      <c r="B46" s="22" t="s">
        <v>170</v>
      </c>
      <c r="C46" s="22">
        <v>39.48</v>
      </c>
      <c r="D46" s="22">
        <v>13</v>
      </c>
      <c r="G46" s="22">
        <f>(D46+E46/60+F46/3600)*15</f>
        <v>195</v>
      </c>
      <c r="J46" s="22" t="s">
        <v>170</v>
      </c>
      <c r="L46" s="22">
        <f>ROUND((C46*(IF(C46&lt;=1,50,(IF(C46&lt;=10,2.5,IF(C46&lt;=100,1.25,0.625)))))+(IF(C46&lt;=1,0,(IF(C46&lt;=10,50,IF(C46&lt;=100,75,200))))))*SIN(RADIANS(G46))+$L$4,0)</f>
        <v>4968</v>
      </c>
      <c r="M46" s="22">
        <f>ROUND((C46*(IF(C46&lt;=1,50,(IF(C46&lt;=10,2.5,IF(C46&lt;=100,1.25,0.625)))))+(IF(C46&lt;=1,0,(IF(C46&lt;=10,50,IF(C46&lt;=100,75,200))))))*COS(RADIANS(G46))+$M$4,0)</f>
        <v>4880</v>
      </c>
    </row>
    <row r="47" spans="1:13" s="23" customFormat="1" ht="11.25">
      <c r="A47" s="23">
        <v>37</v>
      </c>
      <c r="B47" s="23" t="s">
        <v>199</v>
      </c>
      <c r="L47" s="23">
        <f>L46-20</f>
        <v>4948</v>
      </c>
      <c r="M47" s="23">
        <f>M46</f>
        <v>4880</v>
      </c>
    </row>
    <row r="48" spans="1:13" s="22" customFormat="1" ht="11.25">
      <c r="A48" s="22">
        <v>13</v>
      </c>
      <c r="B48" s="22" t="s">
        <v>167</v>
      </c>
      <c r="C48" s="22">
        <v>43.34</v>
      </c>
      <c r="D48" s="22">
        <v>16</v>
      </c>
      <c r="G48" s="22">
        <f>(D48+E48/60+F48/3600)*15</f>
        <v>240</v>
      </c>
      <c r="J48" s="22" t="s">
        <v>167</v>
      </c>
      <c r="L48" s="22">
        <f>ROUND((C48*(IF(C48&lt;=1,50,(IF(C48&lt;=10,2.5,IF(C48&lt;=100,1.25,0.625)))))+(IF(C48&lt;=1,0,(IF(C48&lt;=10,50,IF(C48&lt;=100,75,200))))))*SIN(RADIANS(G48))+$L$4,0)</f>
        <v>4888</v>
      </c>
      <c r="M48" s="22">
        <f>ROUND((C48*(IF(C48&lt;=1,50,(IF(C48&lt;=10,2.5,IF(C48&lt;=100,1.25,0.625)))))+(IF(C48&lt;=1,0,(IF(C48&lt;=10,50,IF(C48&lt;=100,75,200))))))*COS(RADIANS(G48))+$M$4,0)</f>
        <v>4935</v>
      </c>
    </row>
    <row r="49" spans="1:13" s="22" customFormat="1" ht="11.25">
      <c r="A49" s="22">
        <v>14</v>
      </c>
      <c r="B49" s="22" t="s">
        <v>168</v>
      </c>
      <c r="C49" s="22">
        <v>45.79</v>
      </c>
      <c r="D49" s="22">
        <v>19</v>
      </c>
      <c r="G49" s="22">
        <f>(D49+E49/60+F49/3600)*15</f>
        <v>285</v>
      </c>
      <c r="J49" s="22" t="s">
        <v>168</v>
      </c>
      <c r="L49" s="22">
        <f>ROUND((C49*(IF(C49&lt;=1,50,(IF(C49&lt;=10,2.5,IF(C49&lt;=100,1.25,0.625)))))+(IF(C49&lt;=1,0,(IF(C49&lt;=10,50,IF(C49&lt;=100,75,200))))))*SIN(RADIANS(G49))+$L$4,0)</f>
        <v>4872</v>
      </c>
      <c r="M49" s="22">
        <f>ROUND((C49*(IF(C49&lt;=1,50,(IF(C49&lt;=10,2.5,IF(C49&lt;=100,1.25,0.625)))))+(IF(C49&lt;=1,0,(IF(C49&lt;=10,50,IF(C49&lt;=100,75,200))))))*COS(RADIANS(G49))+$M$4,0)</f>
        <v>5034</v>
      </c>
    </row>
    <row r="50" spans="1:13" s="21" customFormat="1" ht="11.25">
      <c r="A50" s="21">
        <v>15</v>
      </c>
      <c r="B50" s="21" t="s">
        <v>171</v>
      </c>
      <c r="C50" s="21">
        <v>40</v>
      </c>
      <c r="D50" s="21">
        <v>22</v>
      </c>
      <c r="G50" s="21">
        <f>(D50+E50/60+F50/3600)*15</f>
        <v>330</v>
      </c>
      <c r="J50" s="21" t="s">
        <v>151</v>
      </c>
      <c r="L50" s="21">
        <f>ROUND((C50*(IF(C50&lt;=1,50,(IF(C50&lt;=10,2.5,IF(C50&lt;=100,1.25,0.625)))))+(IF(C50&lt;=1,0,(IF(C50&lt;=10,50,IF(C50&lt;=100,75,200))))))*SIN(RADIANS(G50))+$L$4,0)</f>
        <v>4938</v>
      </c>
      <c r="M50" s="21">
        <f>ROUND((C50*(IF(C50&lt;=1,50,(IF(C50&lt;=10,2.5,IF(C50&lt;=100,1.25,0.625)))))+(IF(C50&lt;=1,0,(IF(C50&lt;=10,50,IF(C50&lt;=100,75,200))))))*COS(RADIANS(G50))+$M$4,0)</f>
        <v>5108</v>
      </c>
    </row>
    <row r="51" spans="1:13" s="22" customFormat="1" ht="11.25">
      <c r="A51" s="22">
        <v>16</v>
      </c>
      <c r="B51" s="22" t="s">
        <v>169</v>
      </c>
      <c r="C51" s="22">
        <v>67.67</v>
      </c>
      <c r="D51" s="22">
        <v>1</v>
      </c>
      <c r="G51" s="22">
        <f>(D51+E51/60+F51/3600)*15</f>
        <v>15</v>
      </c>
      <c r="J51" s="22" t="s">
        <v>169</v>
      </c>
      <c r="L51" s="22">
        <f>ROUND((C51*(IF(C51&lt;=1,50,(IF(C51&lt;=10,2.5,IF(C51&lt;=100,1.25,0.625)))))+(IF(C51&lt;=1,0,(IF(C51&lt;=10,50,IF(C51&lt;=100,75,200))))))*SIN(RADIANS(G51))+$L$4,0)</f>
        <v>5041</v>
      </c>
      <c r="M51" s="22">
        <f>ROUND((C51*(IF(C51&lt;=1,50,(IF(C51&lt;=10,2.5,IF(C51&lt;=100,1.25,0.625)))))+(IF(C51&lt;=1,0,(IF(C51&lt;=10,50,IF(C51&lt;=100,75,200))))))*COS(RADIANS(G51))+$M$4,0)</f>
        <v>5154</v>
      </c>
    </row>
    <row r="52" spans="2:14" s="21" customFormat="1" ht="11.25">
      <c r="B52" s="21" t="s">
        <v>319</v>
      </c>
      <c r="C52" s="21">
        <v>300</v>
      </c>
      <c r="D52" s="21">
        <v>5</v>
      </c>
      <c r="G52" s="21">
        <f>(D52+E52/60+F52/3600)*15</f>
        <v>75</v>
      </c>
      <c r="L52" s="21">
        <f>ROUND((C52*(IF(C52&lt;=1,50,(IF(C52&lt;=10,2.5,IF(C52&lt;=100,1.25,0.625)))))+(IF(C52&lt;=1,0,(IF(C52&lt;=10,50,IF(C52&lt;=100,75,200))))))*SIN(RADIANS(G52))+$L$4,0)</f>
        <v>5374</v>
      </c>
      <c r="M52" s="29">
        <f>ROUND((C52*(IF(C52&lt;=1,50,(IF(C52&lt;=10,2.5,IF(C52&lt;=100,1.25,0.625)))))+(IF(C52&lt;=1,0,(IF(C52&lt;=10,50,IF(C52&lt;=100,75,200))))))*COS(RADIANS(G52))+$M$4,0)</f>
        <v>5100</v>
      </c>
      <c r="N52" s="21" t="s">
        <v>320</v>
      </c>
    </row>
    <row r="53" s="24" customFormat="1" ht="11.25"/>
    <row r="54" s="24" customFormat="1" ht="11.25">
      <c r="D54" s="25" t="s">
        <v>213</v>
      </c>
    </row>
    <row r="55" spans="2:13" s="16" customFormat="1" ht="11.25">
      <c r="B55" s="17" t="s">
        <v>235</v>
      </c>
      <c r="C55" s="16">
        <v>4.3</v>
      </c>
      <c r="D55" s="16">
        <v>14</v>
      </c>
      <c r="E55" s="16">
        <v>39</v>
      </c>
      <c r="F55" s="16">
        <v>36.451</v>
      </c>
      <c r="G55" s="16">
        <f>180-ROUND((D55+E55/60+F55/3600)*15,0)</f>
        <v>-40</v>
      </c>
      <c r="L55" s="16">
        <f>ROUND(SIN(RADIANS(G55))*C55*Reference!$B$3+$L$4,0)</f>
        <v>4685</v>
      </c>
      <c r="M55" s="16">
        <f>ROUND(COS(RADIANS(G55))*C55*Reference!$B$3+$M$4,0)</f>
        <v>5376</v>
      </c>
    </row>
    <row r="56" spans="2:13" s="32" customFormat="1" ht="11.25">
      <c r="B56" s="31" t="s">
        <v>51</v>
      </c>
      <c r="C56" s="32">
        <v>12</v>
      </c>
      <c r="D56" s="32">
        <v>9</v>
      </c>
      <c r="G56" s="32">
        <f>180-ROUND((D56+E56/60+F56/3600)*15,0)</f>
        <v>45</v>
      </c>
      <c r="H56" s="32" t="s">
        <v>2</v>
      </c>
      <c r="I56" s="34">
        <f>(1.2+1.3)/2</f>
        <v>1.25</v>
      </c>
      <c r="J56" s="32" t="s">
        <v>1</v>
      </c>
      <c r="K56" s="26">
        <f>ROUND((I56*(IF(I56&lt;=1,50,(IF(I56&lt;=10,2.5,IF(I56&lt;=100,1.25,0.625)))))+(IF(I56&lt;=1,0,(IF(I56&lt;=10,50,IF(I56&lt;=100,75,200))))))*COS(RADIANS(0)),0)</f>
        <v>53</v>
      </c>
      <c r="L56" s="32">
        <f>ROUND((C56*(IF(C56&lt;=1,50,(IF(C56&lt;=10,2.5,IF(C56&lt;=100,1.25,0.625)))))+(IF(C56&lt;=1,0,(IF(C56&lt;=10,50,IF(C56&lt;=100,75,200))))))*SIN(RADIANS(G56))+L55,0)</f>
        <v>4749</v>
      </c>
      <c r="M56" s="32">
        <f>ROUND((C56*(IF(C56&lt;=1,50,(IF(C56&lt;=10,2.5,IF(C56&lt;=100,1.25,0.625)))))+(IF(C56&lt;=1,0,(IF(C56&lt;=10,50,IF(C56&lt;=100,75,200))))))*COS(RADIANS(G56))+M55,0)</f>
        <v>5440</v>
      </c>
    </row>
    <row r="57" spans="2:14" s="32" customFormat="1" ht="11.25">
      <c r="B57" s="31" t="s">
        <v>52</v>
      </c>
      <c r="C57" s="32">
        <v>12</v>
      </c>
      <c r="D57" s="32">
        <v>21</v>
      </c>
      <c r="G57" s="32">
        <f>180-ROUND((D57+E57/60+F57/3600)*15,0)</f>
        <v>-135</v>
      </c>
      <c r="H57" s="32" t="s">
        <v>11</v>
      </c>
      <c r="I57" s="34">
        <f>(0.73+0.74)/2</f>
        <v>0.735</v>
      </c>
      <c r="J57" s="32" t="s">
        <v>12</v>
      </c>
      <c r="K57" s="26">
        <f>ROUND((I57*(IF(I57&lt;=1,50,(IF(I57&lt;=10,2.5,IF(I57&lt;=100,1.25,0.625)))))+(IF(I57&lt;=1,0,(IF(I57&lt;=10,50,IF(I57&lt;=100,75,200))))))*COS(RADIANS(0)),0)</f>
        <v>37</v>
      </c>
      <c r="L57" s="32">
        <f>ROUND((C57*(IF(C57&lt;=1,50,(IF(C57&lt;=10,2.5,IF(C57&lt;=100,1.25,0.625)))))+(IF(C57&lt;=1,0,(IF(C57&lt;=10,50,IF(C57&lt;=100,75,200))))))*SIN(RADIANS(G57))+L55,0)</f>
        <v>4621</v>
      </c>
      <c r="M57" s="32">
        <f>ROUND((C57*(IF(C57&lt;=1,50,(IF(C57&lt;=10,2.5,IF(C57&lt;=100,1.25,0.625)))))+(IF(C57&lt;=1,0,(IF(C57&lt;=10,50,IF(C57&lt;=100,75,200))))))*COS(RADIANS(G57))+M55,0)</f>
        <v>5312</v>
      </c>
      <c r="N57" s="32" t="s">
        <v>306</v>
      </c>
    </row>
    <row r="58" s="24" customFormat="1" ht="11.25">
      <c r="B58" s="25"/>
    </row>
    <row r="59" spans="2:14" s="16" customFormat="1" ht="11.25">
      <c r="B59" s="17" t="s">
        <v>25</v>
      </c>
      <c r="C59" s="17">
        <v>4.2</v>
      </c>
      <c r="D59" s="16">
        <v>14</v>
      </c>
      <c r="E59" s="16">
        <v>29</v>
      </c>
      <c r="F59" s="16">
        <v>42.9487</v>
      </c>
      <c r="G59" s="16">
        <f>180-ROUND((D59+E59/60+F59/3600)*15,0)</f>
        <v>-37</v>
      </c>
      <c r="H59" s="16" t="s">
        <v>26</v>
      </c>
      <c r="I59" s="16">
        <f>(0.022+0.054)/2</f>
        <v>0.038</v>
      </c>
      <c r="J59" s="16" t="s">
        <v>215</v>
      </c>
      <c r="K59" s="26">
        <f>ROUND((I59*(IF(I59&lt;=1,50,(IF(I59&lt;=10,2.5,IF(I59&lt;=100,1.25,0.625)))))+(IF(I59&lt;=1,0,(IF(I59&lt;=10,50,IF(I59&lt;=100,75,200))))))*COS(RADIANS(0)),0)</f>
        <v>2</v>
      </c>
      <c r="L59" s="16">
        <f>ROUND(SIN(RADIANS(G59))*C59*Reference!$B$3+$L$4,0)</f>
        <v>4712</v>
      </c>
      <c r="M59" s="16">
        <f>ROUND(COS(RADIANS(G59))*C59*Reference!$B$3+$M$4,0)</f>
        <v>5382</v>
      </c>
      <c r="N59" s="16" t="s">
        <v>270</v>
      </c>
    </row>
    <row r="60" s="24" customFormat="1" ht="11.25"/>
    <row r="61" spans="2:13" s="16" customFormat="1" ht="11.25">
      <c r="B61" s="17" t="s">
        <v>27</v>
      </c>
      <c r="C61" s="16">
        <v>12</v>
      </c>
      <c r="D61" s="16">
        <v>1</v>
      </c>
      <c r="E61" s="16">
        <v>44</v>
      </c>
      <c r="F61" s="16">
        <v>4.0829</v>
      </c>
      <c r="G61" s="16">
        <f>180-ROUND((D61+E61/60+F61/3600)*15,0)</f>
        <v>154</v>
      </c>
      <c r="H61" s="16" t="s">
        <v>28</v>
      </c>
      <c r="I61" s="16">
        <v>0.68</v>
      </c>
      <c r="J61" s="16" t="s">
        <v>1</v>
      </c>
      <c r="K61" s="26">
        <f>ROUND((I61*(IF(I61&lt;=1,50,(IF(I61&lt;=10,2.5,IF(I61&lt;=100,1.25,0.625)))))+(IF(I61&lt;=1,0,(IF(I61&lt;=10,50,IF(I61&lt;=100,75,200))))))*COS(RADIANS(0)),0)</f>
        <v>34</v>
      </c>
      <c r="L61" s="16">
        <f>ROUND(SIN(RADIANS(G61))*C61*Reference!$B$3+$L$4,0)</f>
        <v>5600</v>
      </c>
      <c r="M61" s="16">
        <f>ROUND(COS(RADIANS(G61))*C61*Reference!$B$3+$M$4,0)</f>
        <v>3770</v>
      </c>
    </row>
    <row r="62" spans="2:14" s="26" customFormat="1" ht="11.25">
      <c r="B62" s="26" t="s">
        <v>29</v>
      </c>
      <c r="C62" s="26">
        <v>35</v>
      </c>
      <c r="D62" s="26">
        <v>0</v>
      </c>
      <c r="G62" s="16">
        <f>180-ROUND((D62+E62/60+F62/3600)*15,0)</f>
        <v>180</v>
      </c>
      <c r="J62" s="26" t="s">
        <v>172</v>
      </c>
      <c r="L62" s="26">
        <f>ROUND((C62*(IF(C62&lt;=1,50,(IF(C62&lt;=10,2.5,IF(C62&lt;=100,1.25,0.625)))))+(IF(C62&lt;=1,0,(IF(C62&lt;=10,50,IF(C62&lt;=100,75,200))))))*SIN(RADIANS(G62))+L61,0)</f>
        <v>5600</v>
      </c>
      <c r="M62" s="26">
        <f>ROUND((C62*(IF(C62&lt;=1,50,(IF(C62&lt;=10,2.5,IF(C62&lt;=100,1.25,0.625)))))+(IF(C62&lt;=1,0,(IF(C62&lt;=10,50,IF(C62&lt;=100,75,200))))))*COS(RADIANS(G62))+M61,0)</f>
        <v>3651</v>
      </c>
      <c r="N62" s="26" t="s">
        <v>85</v>
      </c>
    </row>
    <row r="63" s="24" customFormat="1" ht="11.25"/>
    <row r="64" spans="2:13" s="16" customFormat="1" ht="11.25">
      <c r="B64" s="17" t="s">
        <v>311</v>
      </c>
      <c r="C64" s="16">
        <v>19</v>
      </c>
      <c r="D64" s="16">
        <v>0</v>
      </c>
      <c r="E64" s="16">
        <v>49</v>
      </c>
      <c r="F64" s="16">
        <v>6.291</v>
      </c>
      <c r="G64" s="16">
        <f>180-ROUND((D64+E64/60+F64/3600)*15,0)</f>
        <v>168</v>
      </c>
      <c r="H64" s="32" t="s">
        <v>30</v>
      </c>
      <c r="I64" s="32">
        <v>1.13</v>
      </c>
      <c r="J64" s="32" t="s">
        <v>1</v>
      </c>
      <c r="K64" s="26">
        <f>ROUND((I64*(IF(I64&lt;=1,50,(IF(I64&lt;=10,2.5,IF(I64&lt;=100,1.25,0.625)))))+(IF(I64&lt;=1,0,(IF(I64&lt;=10,50,IF(I64&lt;=100,75,200))))))*COS(RADIANS(0)),0)</f>
        <v>53</v>
      </c>
      <c r="L64" s="16">
        <f>ROUND(SIN(RADIANS(G64))*C64*Reference!$B$3+$L$4,0)</f>
        <v>5450</v>
      </c>
      <c r="M64" s="16">
        <f>ROUND(COS(RADIANS(G64))*C64*Reference!$B$3+$M$4,0)</f>
        <v>2881</v>
      </c>
    </row>
    <row r="65" spans="2:14" s="28" customFormat="1" ht="11.25">
      <c r="B65" s="27" t="s">
        <v>211</v>
      </c>
      <c r="C65" s="28">
        <v>71</v>
      </c>
      <c r="D65" s="28">
        <v>18</v>
      </c>
      <c r="G65" s="28">
        <f>180-ROUND((D65+E65/60+F65/3600)*15,0)</f>
        <v>-90</v>
      </c>
      <c r="H65" s="28" t="s">
        <v>31</v>
      </c>
      <c r="I65" s="28">
        <v>0.018</v>
      </c>
      <c r="J65" s="28" t="s">
        <v>12</v>
      </c>
      <c r="K65" s="28">
        <f>ROUND((I65*(IF(I65&lt;=1,50,(IF(I65&lt;=10,2.5,IF(I65&lt;=100,1.25,0.625)))))+(IF(I65&lt;=1,0,(IF(I65&lt;=10,50,IF(I65&lt;=100,75,200))))))*COS(RADIANS(0)),0)</f>
        <v>1</v>
      </c>
      <c r="L65" s="28">
        <f>ROUND((C65*(IF(C65&lt;=1,50,(IF(C65&lt;=10,2.5,IF(C65&lt;=100,1.25,0.625)))))+(IF(C65&lt;=1,0,(IF(C65&lt;=10,50,IF(C65&lt;=100,75,200))))))*SIN(RADIANS(G65))+L64,0)</f>
        <v>5286</v>
      </c>
      <c r="M65" s="28">
        <f>ROUND((C65*(IF(C65&lt;=1,50,(IF(C65&lt;=10,2.5,IF(C65&lt;=100,1.25,0.625)))))+(IF(C65&lt;=1,0,(IF(C65&lt;=10,50,IF(C65&lt;=100,75,200))))))*COS(RADIANS(G65))+M64,0)</f>
        <v>2881</v>
      </c>
      <c r="N65" s="28" t="s">
        <v>312</v>
      </c>
    </row>
    <row r="66" s="24" customFormat="1" ht="11.25"/>
    <row r="67" spans="2:13" s="16" customFormat="1" ht="11.25">
      <c r="B67" s="17" t="s">
        <v>32</v>
      </c>
      <c r="C67" s="16">
        <v>24</v>
      </c>
      <c r="D67" s="16">
        <v>0</v>
      </c>
      <c r="E67" s="16">
        <v>25</v>
      </c>
      <c r="F67" s="16">
        <v>45.1</v>
      </c>
      <c r="G67" s="16">
        <f>180-ROUND((D67+E67/60+F67/3600)*15,0)</f>
        <v>174</v>
      </c>
      <c r="H67" s="16" t="s">
        <v>33</v>
      </c>
      <c r="I67" s="16">
        <v>1.9</v>
      </c>
      <c r="J67" s="16" t="s">
        <v>1</v>
      </c>
      <c r="K67" s="26">
        <f>ROUND((I67*(IF(I67&lt;=1,50,(IF(I67&lt;=10,2.5,IF(I67&lt;=100,1.25,0.625)))))+(IF(I67&lt;=1,0,(IF(I67&lt;=10,50,IF(I67&lt;=100,75,200))))))*COS(RADIANS(0)),0)</f>
        <v>55</v>
      </c>
      <c r="L67" s="16">
        <f>ROUND(SIN(RADIANS(G67))*C67*Reference!$B$3+$L$4,0)</f>
        <v>5286</v>
      </c>
      <c r="M67" s="16">
        <f>ROUND(COS(RADIANS(G67))*C67*Reference!$B$3+$M$4,0)</f>
        <v>2279</v>
      </c>
    </row>
    <row r="68" s="24" customFormat="1" ht="11.25"/>
    <row r="69" spans="2:13" s="16" customFormat="1" ht="11.25">
      <c r="B69" s="17" t="s">
        <v>34</v>
      </c>
      <c r="C69" s="16">
        <v>19.9</v>
      </c>
      <c r="D69" s="16">
        <v>20</v>
      </c>
      <c r="E69" s="16">
        <v>8</v>
      </c>
      <c r="F69" s="16">
        <v>42</v>
      </c>
      <c r="G69" s="16">
        <f>180-ROUND((D69+E69/60+F69/3600)*15,0)</f>
        <v>-122</v>
      </c>
      <c r="H69" s="16" t="s">
        <v>28</v>
      </c>
      <c r="I69" s="16">
        <v>1.09</v>
      </c>
      <c r="J69" s="16" t="s">
        <v>1</v>
      </c>
      <c r="K69" s="26">
        <f>ROUND((I69*(IF(I69&lt;=1,50,(IF(I69&lt;=10,2.5,IF(I69&lt;=100,1.25,0.625)))))+(IF(I69&lt;=1,0,(IF(I69&lt;=10,50,IF(I69&lt;=100,75,200))))))*COS(RADIANS(0)),0)</f>
        <v>53</v>
      </c>
      <c r="L69" s="16">
        <f>ROUND(SIN(RADIANS(G69))*C69*Reference!$B$3+$L$4,0)</f>
        <v>3076</v>
      </c>
      <c r="M69" s="16">
        <f>ROUND(COS(RADIANS(G69))*C69*Reference!$B$3+$M$4,0)</f>
        <v>3798</v>
      </c>
    </row>
    <row r="70" s="24" customFormat="1" ht="11.25"/>
    <row r="71" spans="2:13" s="16" customFormat="1" ht="11.25">
      <c r="B71" s="17" t="s">
        <v>50</v>
      </c>
      <c r="C71" s="16">
        <v>26</v>
      </c>
      <c r="D71" s="16">
        <v>4</v>
      </c>
      <c r="E71" s="16">
        <v>49</v>
      </c>
      <c r="F71" s="16">
        <v>50.4</v>
      </c>
      <c r="G71" s="16">
        <f>180-ROUND((D71+E71/60+F71/3600)*15,0)</f>
        <v>108</v>
      </c>
      <c r="H71" s="16" t="s">
        <v>35</v>
      </c>
      <c r="I71" s="16">
        <v>1.7</v>
      </c>
      <c r="J71" s="16" t="s">
        <v>40</v>
      </c>
      <c r="K71" s="26">
        <f>ROUND((I71*(IF(I71&lt;=1,50,(IF(I71&lt;=10,2.5,IF(I71&lt;=100,1.25,0.625)))))+(IF(I71&lt;=1,0,(IF(I71&lt;=10,50,IF(I71&lt;=100,75,200))))))*COS(RADIANS(0)),0)</f>
        <v>54</v>
      </c>
      <c r="L71" s="16">
        <f>ROUND(SIN(RADIANS(G71))*C71*Reference!$B$3+$L$4,0)</f>
        <v>7819</v>
      </c>
      <c r="M71" s="16">
        <f>ROUND(COS(RADIANS(G71))*C71*Reference!$B$3+$M$4,0)</f>
        <v>4084</v>
      </c>
    </row>
    <row r="72" s="24" customFormat="1" ht="11.25"/>
    <row r="73" spans="2:13" s="16" customFormat="1" ht="11.25">
      <c r="B73" s="17" t="s">
        <v>36</v>
      </c>
      <c r="C73" s="16">
        <v>29</v>
      </c>
      <c r="D73" s="16">
        <v>5</v>
      </c>
      <c r="E73" s="16">
        <v>44</v>
      </c>
      <c r="F73" s="16">
        <v>27.8</v>
      </c>
      <c r="G73" s="16">
        <f>180-ROUND((D73+E73/60+F73/3600)*15,0)</f>
        <v>94</v>
      </c>
      <c r="H73" s="16" t="s">
        <v>37</v>
      </c>
      <c r="I73" s="16">
        <v>1.6</v>
      </c>
      <c r="J73" s="16" t="s">
        <v>40</v>
      </c>
      <c r="K73" s="26">
        <f>ROUND((I73*(IF(I73&lt;=1,50,(IF(I73&lt;=10,2.5,IF(I73&lt;=100,1.25,0.625)))))+(IF(I73&lt;=1,0,(IF(I73&lt;=10,50,IF(I73&lt;=100,75,200))))))*COS(RADIANS(0)),0)</f>
        <v>54</v>
      </c>
      <c r="L73" s="16">
        <f>ROUND(SIN(RADIANS(G73))*C73*Reference!$B$3+$L$4,0)</f>
        <v>8298</v>
      </c>
      <c r="M73" s="16">
        <f>ROUND(COS(RADIANS(G73))*C73*Reference!$B$3+$M$4,0)</f>
        <v>4769</v>
      </c>
    </row>
    <row r="74" spans="2:14" s="28" customFormat="1" ht="11.25">
      <c r="B74" s="28" t="s">
        <v>214</v>
      </c>
      <c r="C74" s="28">
        <v>864</v>
      </c>
      <c r="D74" s="28">
        <v>0</v>
      </c>
      <c r="G74" s="16">
        <f>180-ROUND((D74+E74/60+F74/3600)*15,0)</f>
        <v>180</v>
      </c>
      <c r="H74" s="28" t="s">
        <v>38</v>
      </c>
      <c r="I74" s="28">
        <v>0.5</v>
      </c>
      <c r="J74" s="28" t="s">
        <v>12</v>
      </c>
      <c r="K74" s="26">
        <f>ROUND((I74*(IF(I74&lt;=1,50,(IF(I74&lt;=10,2.5,IF(I74&lt;=100,1.25,0.625)))))+(IF(I74&lt;=1,0,(IF(I74&lt;=10,50,IF(I74&lt;=100,75,200))))))*COS(RADIANS(0)),0)</f>
        <v>25</v>
      </c>
      <c r="L74" s="28">
        <f>ROUND((C74*(IF(C74&lt;=1,50,(IF(C74&lt;=10,2.5,IF(C74&lt;=100,1.25,0.625)))))+(IF(C74&lt;=1,0,(IF(C74&lt;=10,50,IF(C74&lt;=100,75,200))))))*SIN(RADIANS(G74))+L73,0)</f>
        <v>8298</v>
      </c>
      <c r="M74" s="29">
        <f>4769+300</f>
        <v>5069</v>
      </c>
      <c r="N74" s="28" t="s">
        <v>234</v>
      </c>
    </row>
    <row r="75" s="24" customFormat="1" ht="11.25">
      <c r="C75" s="25"/>
    </row>
    <row r="76" spans="2:13" s="16" customFormat="1" ht="11.25">
      <c r="B76" s="17" t="s">
        <v>39</v>
      </c>
      <c r="C76" s="16">
        <v>10</v>
      </c>
      <c r="D76" s="16">
        <v>3</v>
      </c>
      <c r="E76" s="16">
        <v>32</v>
      </c>
      <c r="F76" s="16">
        <v>55.8442</v>
      </c>
      <c r="G76" s="16">
        <f aca="true" t="shared" si="0" ref="G76:G81">180-ROUND((D76+E76/60+F76/3600)*15,0)</f>
        <v>127</v>
      </c>
      <c r="H76" s="16" t="s">
        <v>38</v>
      </c>
      <c r="I76" s="16">
        <f>(0.5+1)/2</f>
        <v>0.75</v>
      </c>
      <c r="J76" s="16" t="s">
        <v>12</v>
      </c>
      <c r="K76" s="26">
        <f>ROUND((I76*(IF(I76&lt;=1,50,(IF(I76&lt;=10,2.5,IF(I76&lt;=100,1.25,0.625)))))+(IF(I76&lt;=1,0,(IF(I76&lt;=10,50,IF(I76&lt;=100,75,200))))))*COS(RADIANS(0)),0)</f>
        <v>38</v>
      </c>
      <c r="L76" s="16">
        <f>ROUND(SIN(RADIANS(G76))*C76*Reference!$B$3+$L$4,0)</f>
        <v>5910</v>
      </c>
      <c r="M76" s="16">
        <f>ROUND(COS(RADIANS(G76))*C76*Reference!$B$3+$M$4,0)</f>
        <v>4314</v>
      </c>
    </row>
    <row r="77" spans="2:13" s="26" customFormat="1" ht="11.25">
      <c r="B77" s="26" t="s">
        <v>41</v>
      </c>
      <c r="C77" s="26">
        <v>3</v>
      </c>
      <c r="D77" s="26">
        <v>0</v>
      </c>
      <c r="G77" s="16">
        <f t="shared" si="0"/>
        <v>180</v>
      </c>
      <c r="J77" s="26" t="s">
        <v>151</v>
      </c>
      <c r="L77" s="26">
        <f>ROUND((C77*(IF(C77&lt;=1,50,(IF(C77&lt;=10,2.5,IF(C77&lt;=100,1.25,0.625)))))+(IF(C77&lt;=1,0,(IF(C77&lt;=10,50,IF(C77&lt;=100,75,200))))))*SIN(RADIANS(G77))+L76,0)</f>
        <v>5910</v>
      </c>
      <c r="M77" s="26">
        <f>ROUND((C77*(IF(C77&lt;=1,50,(IF(C77&lt;=10,2.5,IF(C77&lt;=100,1.25,0.625)))))+(IF(C77&lt;=1,0,(IF(C77&lt;=10,50,IF(C77&lt;=100,75,200))))))*COS(RADIANS(G77))+M76,0)</f>
        <v>4257</v>
      </c>
    </row>
    <row r="78" spans="2:13" s="18" customFormat="1" ht="11.25">
      <c r="B78" s="18" t="s">
        <v>88</v>
      </c>
      <c r="C78" s="18">
        <v>3.4</v>
      </c>
      <c r="D78" s="18">
        <v>3</v>
      </c>
      <c r="G78" s="16">
        <f t="shared" si="0"/>
        <v>135</v>
      </c>
      <c r="H78" s="18" t="s">
        <v>86</v>
      </c>
      <c r="J78" s="18" t="s">
        <v>145</v>
      </c>
      <c r="L78" s="18">
        <f>ROUND((C78*(IF(C78&lt;=1,50,(IF(C78&lt;=10,2.5,IF(C78&lt;=100,1.25,0.625)))))+(IF(C78&lt;=1,0,(IF(C78&lt;=10,50,IF(C78&lt;=100,75,200))))))*SIN(RADIANS(G78))+L76,0)</f>
        <v>5951</v>
      </c>
      <c r="M78" s="18">
        <f>ROUND((C78*(IF(C78&lt;=1,50,(IF(C78&lt;=10,2.5,IF(C78&lt;=100,1.25,0.625)))))+(IF(C78&lt;=1,0,(IF(C78&lt;=10,50,IF(C78&lt;=100,75,200))))))*COS(RADIANS(G78))+M76,0)</f>
        <v>4273</v>
      </c>
    </row>
    <row r="79" spans="2:13" s="26" customFormat="1" ht="11.25">
      <c r="B79" s="26" t="s">
        <v>42</v>
      </c>
      <c r="C79" s="26">
        <v>20</v>
      </c>
      <c r="D79" s="26">
        <v>6</v>
      </c>
      <c r="G79" s="16">
        <f t="shared" si="0"/>
        <v>90</v>
      </c>
      <c r="J79" s="26" t="s">
        <v>151</v>
      </c>
      <c r="L79" s="26">
        <f>ROUND((C79*(IF(C79&lt;=1,50,(IF(C79&lt;=10,2.5,IF(C79&lt;=100,1.25,0.625)))))+(IF(C79&lt;=1,0,(IF(C79&lt;=10,50,IF(C79&lt;=100,75,200))))))*SIN(RADIANS(G79))+L76,0)</f>
        <v>6010</v>
      </c>
      <c r="M79" s="26">
        <f>ROUND((C79*(IF(C79&lt;=1,50,(IF(C79&lt;=10,2.5,IF(C79&lt;=100,1.25,0.625)))))+(IF(C79&lt;=1,0,(IF(C79&lt;=10,50,IF(C79&lt;=100,75,200))))))*COS(RADIANS(G79))+M76,0)</f>
        <v>4314</v>
      </c>
    </row>
    <row r="80" spans="2:13" s="18" customFormat="1" ht="11.25">
      <c r="B80" s="18" t="s">
        <v>44</v>
      </c>
      <c r="C80" s="18">
        <v>21</v>
      </c>
      <c r="D80" s="18">
        <v>9</v>
      </c>
      <c r="G80" s="16">
        <f t="shared" si="0"/>
        <v>45</v>
      </c>
      <c r="H80" s="18" t="s">
        <v>87</v>
      </c>
      <c r="J80" s="18" t="s">
        <v>146</v>
      </c>
      <c r="L80" s="18">
        <f>ROUND((C80*(IF(C80&lt;=1,50,(IF(C80&lt;=10,2.5,IF(C80&lt;=100,1.25,0.625)))))+(IF(C80&lt;=1,0,(IF(C80&lt;=10,50,IF(C80&lt;=100,75,200))))))*SIN(RADIANS(G80))+L76,0)</f>
        <v>5982</v>
      </c>
      <c r="M80" s="18">
        <f>ROUND((C80*(IF(C80&lt;=1,50,(IF(C80&lt;=10,2.5,IF(C80&lt;=100,1.25,0.625)))))+(IF(C80&lt;=1,0,(IF(C80&lt;=10,50,IF(C80&lt;=100,75,200))))))*COS(RADIANS(G80))+M76,0)</f>
        <v>4386</v>
      </c>
    </row>
    <row r="81" spans="2:13" s="26" customFormat="1" ht="11.25">
      <c r="B81" s="26" t="s">
        <v>43</v>
      </c>
      <c r="C81" s="26">
        <v>35</v>
      </c>
      <c r="D81" s="26">
        <v>12</v>
      </c>
      <c r="G81" s="16">
        <f t="shared" si="0"/>
        <v>0</v>
      </c>
      <c r="J81" s="26" t="s">
        <v>172</v>
      </c>
      <c r="L81" s="26">
        <f>ROUND((C81*(IF(C81&lt;=1,50,(IF(C81&lt;=10,2.5,IF(C81&lt;=100,1.25,0.625)))))+(IF(C81&lt;=1,0,(IF(C81&lt;=10,50,IF(C81&lt;=100,75,200))))))*SIN(RADIANS(G81))+L76,0)</f>
        <v>5910</v>
      </c>
      <c r="M81" s="26">
        <f>ROUND((C81*(IF(C81&lt;=1,50,(IF(C81&lt;=10,2.5,IF(C81&lt;=100,1.25,0.625)))))+(IF(C81&lt;=1,0,(IF(C81&lt;=10,50,IF(C81&lt;=100,75,200))))))*COS(RADIANS(G81))+M76,0)</f>
        <v>4433</v>
      </c>
    </row>
    <row r="82" s="24" customFormat="1" ht="11.25"/>
    <row r="83" spans="2:13" s="16" customFormat="1" ht="11.25">
      <c r="B83" s="17" t="s">
        <v>45</v>
      </c>
      <c r="C83" s="16">
        <v>16</v>
      </c>
      <c r="D83" s="16">
        <v>4</v>
      </c>
      <c r="E83" s="16">
        <v>15</v>
      </c>
      <c r="F83" s="16">
        <v>16.32</v>
      </c>
      <c r="G83" s="16">
        <f>180-ROUND((D83+E83/60+F83/3600)*15,0)</f>
        <v>116</v>
      </c>
      <c r="H83" s="16" t="s">
        <v>11</v>
      </c>
      <c r="I83" s="16">
        <v>0.61</v>
      </c>
      <c r="J83" s="16" t="s">
        <v>12</v>
      </c>
      <c r="K83" s="26">
        <f>ROUND((I83*(IF(I83&lt;=1,50,(IF(I83&lt;=10,2.5,IF(I83&lt;=100,1.25,0.625)))))+(IF(I83&lt;=1,0,(IF(I83&lt;=10,50,IF(I83&lt;=100,75,200))))))*COS(RADIANS(0)),0)</f>
        <v>31</v>
      </c>
      <c r="L83" s="16">
        <f>ROUND(SIN(RADIANS(G83))*C83*Reference!$B$3+$L$4,0)</f>
        <v>6639</v>
      </c>
      <c r="M83" s="16">
        <f>ROUND(COS(RADIANS(G83))*C83*Reference!$B$3+$M$4,0)</f>
        <v>4200</v>
      </c>
    </row>
    <row r="84" spans="2:14" s="28" customFormat="1" ht="11.25">
      <c r="B84" s="28" t="s">
        <v>46</v>
      </c>
      <c r="C84" s="28">
        <v>400</v>
      </c>
      <c r="D84" s="28">
        <v>0</v>
      </c>
      <c r="G84" s="16">
        <f>180-ROUND((D84+E84/60+F84/3600)*15,0)</f>
        <v>180</v>
      </c>
      <c r="H84" s="28" t="s">
        <v>48</v>
      </c>
      <c r="J84" s="28" t="s">
        <v>73</v>
      </c>
      <c r="L84" s="28">
        <f>ROUND((C84*(IF(C84&lt;=1,50,(IF(C84&lt;=10,2.5,IF(C84&lt;=100,1.25,0.625)))))+(IF(C84&lt;=1,0,(IF(C84&lt;=10,50,IF(C84&lt;=100,75,200))))))*SIN(RADIANS(G84))+L83,0)</f>
        <v>6639</v>
      </c>
      <c r="M84" s="28">
        <f>ROUND((C84*(IF(C84&lt;=1,50,(IF(C84&lt;=10,2.5,IF(C84&lt;=100,1.25,0.625)))))+(IF(C84&lt;=1,0,(IF(C84&lt;=10,50,IF(C84&lt;=100,75,200))))))*COS(RADIANS(G84))+M83,0)</f>
        <v>3750</v>
      </c>
      <c r="N84" s="30" t="s">
        <v>236</v>
      </c>
    </row>
    <row r="85" spans="2:14" s="28" customFormat="1" ht="11.25">
      <c r="B85" s="28" t="s">
        <v>47</v>
      </c>
      <c r="C85" s="28">
        <v>400</v>
      </c>
      <c r="D85" s="28">
        <v>0</v>
      </c>
      <c r="G85" s="16">
        <f>180-ROUND((D85+E85/60+F85/3600)*15,0)</f>
        <v>180</v>
      </c>
      <c r="H85" s="28" t="s">
        <v>49</v>
      </c>
      <c r="J85" s="28" t="s">
        <v>215</v>
      </c>
      <c r="L85" s="28">
        <f>ROUND((C85*(IF(C85&lt;=1,50,(IF(C85&lt;=10,2.5,IF(C85&lt;=100,1.25,0.625)))))+(IF(C85&lt;=1,0,(IF(C85&lt;=10,50,IF(C85&lt;=100,75,200))))))*SIN(RADIANS(G85))+L83,0)</f>
        <v>6639</v>
      </c>
      <c r="M85" s="28">
        <f>ROUND((C85*(IF(C85&lt;=1,50,(IF(C85&lt;=10,2.5,IF(C85&lt;=100,1.25,0.625)))))+(IF(C85&lt;=1,0,(IF(C85&lt;=10,50,IF(C85&lt;=100,75,200))))))*COS(RADIANS(G85))+M83,0)</f>
        <v>3750</v>
      </c>
      <c r="N85" s="28" t="s">
        <v>237</v>
      </c>
    </row>
    <row r="86" s="24" customFormat="1" ht="11.25"/>
    <row r="87" s="24" customFormat="1" ht="11.25">
      <c r="D87" s="25" t="s">
        <v>248</v>
      </c>
    </row>
    <row r="88" spans="2:13" s="16" customFormat="1" ht="11.25">
      <c r="B88" s="17" t="s">
        <v>53</v>
      </c>
      <c r="C88" s="16">
        <v>5.96</v>
      </c>
      <c r="D88" s="16">
        <v>17</v>
      </c>
      <c r="E88" s="16">
        <v>57</v>
      </c>
      <c r="F88" s="16">
        <v>48.5</v>
      </c>
      <c r="G88" s="16">
        <f>180-ROUND((D88+E88/60+F88/3600)*15,0)</f>
        <v>-89</v>
      </c>
      <c r="H88" s="16" t="s">
        <v>54</v>
      </c>
      <c r="I88" s="35">
        <f>(0.034+0.082)/2</f>
        <v>0.058</v>
      </c>
      <c r="J88" s="16" t="s">
        <v>24</v>
      </c>
      <c r="K88" s="26">
        <f>ROUND((I88*(IF(I88&lt;=1,50,(IF(I88&lt;=10,2.5,IF(I88&lt;=100,1.25,0.625)))))+(IF(I88&lt;=1,0,(IF(I88&lt;=10,50,IF(I88&lt;=100,75,200))))))*COS(RADIANS(0)),0)</f>
        <v>3</v>
      </c>
      <c r="L88" s="16">
        <f>ROUND(SIN(RADIANS(G88))*C88*Reference!$B$3+$L$4,0)</f>
        <v>4321</v>
      </c>
      <c r="M88" s="16">
        <f>ROUND(COS(RADIANS(G88))*C88*Reference!$B$3+$M$4,0)</f>
        <v>5012</v>
      </c>
    </row>
    <row r="89" spans="2:9" s="24" customFormat="1" ht="11.25">
      <c r="B89" s="25"/>
      <c r="I89" s="36"/>
    </row>
    <row r="90" spans="2:13" s="16" customFormat="1" ht="11.25">
      <c r="B90" s="17" t="s">
        <v>55</v>
      </c>
      <c r="C90" s="16">
        <v>7.78</v>
      </c>
      <c r="D90" s="16">
        <v>10</v>
      </c>
      <c r="E90" s="16">
        <v>56</v>
      </c>
      <c r="F90" s="16">
        <v>29.2</v>
      </c>
      <c r="G90" s="16">
        <f>180-ROUND((D90+E90/60+F90/3600)*15,0)</f>
        <v>16</v>
      </c>
      <c r="H90" s="16" t="s">
        <v>56</v>
      </c>
      <c r="I90" s="16">
        <v>0.005</v>
      </c>
      <c r="J90" s="16" t="s">
        <v>24</v>
      </c>
      <c r="K90" s="26">
        <f>ROUND((I90*(IF(I90&lt;=1,50,(IF(I90&lt;=10,2.5,IF(I90&lt;=100,1.25,0.625)))))+(IF(I90&lt;=1,0,(IF(I90&lt;=10,50,IF(I90&lt;=100,75,200))))))*COS(RADIANS(0)),0)</f>
        <v>0</v>
      </c>
      <c r="L90" s="16">
        <f>ROUND(SIN(RADIANS(G90))*C90*Reference!$B$3+$L$4,0)</f>
        <v>5244</v>
      </c>
      <c r="M90" s="16">
        <f>ROUND(COS(RADIANS(G90))*C90*Reference!$B$3+$M$4,0)</f>
        <v>5853</v>
      </c>
    </row>
    <row r="91" s="24" customFormat="1" ht="11.25">
      <c r="B91" s="25"/>
    </row>
    <row r="92" spans="2:13" s="16" customFormat="1" ht="11.25">
      <c r="B92" s="17" t="s">
        <v>57</v>
      </c>
      <c r="C92" s="16">
        <v>8.29</v>
      </c>
      <c r="D92" s="16">
        <v>11</v>
      </c>
      <c r="E92" s="16">
        <v>3</v>
      </c>
      <c r="F92" s="16">
        <v>20.2</v>
      </c>
      <c r="G92" s="16">
        <f>180-ROUND((D92+E92/60+F92/3600)*15,0)</f>
        <v>14</v>
      </c>
      <c r="H92" s="16" t="s">
        <v>58</v>
      </c>
      <c r="I92" s="16">
        <v>0.22</v>
      </c>
      <c r="J92" s="16" t="s">
        <v>24</v>
      </c>
      <c r="K92" s="26">
        <f>ROUND((I92*(IF(I92&lt;=1,50,(IF(I92&lt;=10,2.5,IF(I92&lt;=100,1.25,0.625)))))+(IF(I92&lt;=1,0,(IF(I92&lt;=10,50,IF(I92&lt;=100,75,200))))))*COS(RADIANS(0)),0)</f>
        <v>11</v>
      </c>
      <c r="L92" s="16">
        <f>ROUND(SIN(RADIANS(G92))*C92*Reference!$B$3+$L$4,0)</f>
        <v>5229</v>
      </c>
      <c r="M92" s="16">
        <f>ROUND(COS(RADIANS(G92))*C92*Reference!$B$3+$M$4,0)</f>
        <v>5917</v>
      </c>
    </row>
    <row r="93" spans="2:13" s="18" customFormat="1" ht="11.25">
      <c r="B93" s="18" t="s">
        <v>271</v>
      </c>
      <c r="C93" s="18">
        <v>2.2</v>
      </c>
      <c r="D93" s="18">
        <v>6</v>
      </c>
      <c r="G93" s="18">
        <f>180-ROUND((D93+E93/60+F93/3600)*15,0)</f>
        <v>90</v>
      </c>
      <c r="H93" s="18" t="s">
        <v>272</v>
      </c>
      <c r="L93" s="18">
        <f>ROUND((C93*(IF(C93&lt;=1,50,(IF(C93&lt;=10,2.5,IF(C93&lt;=100,1.25,0.625)))))+(IF(C93&lt;=1,0,(IF(C93&lt;=10,50,IF(C93&lt;=100,75,200))))))*SIN(RADIANS(G93))+L92,0)</f>
        <v>5285</v>
      </c>
      <c r="M93" s="18">
        <f>ROUND((C93*(IF(C93&lt;=1,50,(IF(C93&lt;=10,2.5,IF(C93&lt;=100,1.25,0.625)))))+(IF(C93&lt;=1,0,(IF(C93&lt;=10,50,IF(C93&lt;=100,75,200))))))*COS(RADIANS(G93))+M92,0)</f>
        <v>5917</v>
      </c>
    </row>
    <row r="94" spans="2:13" s="18" customFormat="1" ht="11.25">
      <c r="B94" s="18" t="s">
        <v>273</v>
      </c>
      <c r="C94" s="18">
        <v>11</v>
      </c>
      <c r="D94" s="18">
        <v>15</v>
      </c>
      <c r="G94" s="18">
        <f>180-ROUND((D94+E94/60+F94/3600)*15,0)</f>
        <v>-45</v>
      </c>
      <c r="H94" s="18" t="s">
        <v>274</v>
      </c>
      <c r="L94" s="18">
        <f>ROUND((C94*(IF(C94&lt;=1,50,(IF(C94&lt;=10,2.5,IF(C94&lt;=100,1.25,0.625)))))+(IF(C94&lt;=1,0,(IF(C94&lt;=10,50,IF(C94&lt;=100,75,200))))))*SIN(RADIANS(G94))+L92,0)</f>
        <v>5166</v>
      </c>
      <c r="M94" s="18">
        <f>ROUND((C94*(IF(C94&lt;=1,50,(IF(C94&lt;=10,2.5,IF(C94&lt;=100,1.25,0.625)))))+(IF(C94&lt;=1,0,(IF(C94&lt;=10,50,IF(C94&lt;=100,75,200))))))*COS(RADIANS(G94))+M92,0)</f>
        <v>5980</v>
      </c>
    </row>
    <row r="95" spans="2:13" s="18" customFormat="1" ht="11.25">
      <c r="B95" s="18" t="s">
        <v>275</v>
      </c>
      <c r="C95" s="18">
        <v>11.1</v>
      </c>
      <c r="D95" s="18">
        <v>21</v>
      </c>
      <c r="G95" s="18">
        <f>180-ROUND((D95+E95/60+F95/3600)*15,0)</f>
        <v>-135</v>
      </c>
      <c r="H95" s="18" t="s">
        <v>276</v>
      </c>
      <c r="L95" s="18">
        <f>ROUND((C95*(IF(C95&lt;=1,50,(IF(C95&lt;=10,2.5,IF(C95&lt;=100,1.25,0.625)))))+(IF(C95&lt;=1,0,(IF(C95&lt;=10,50,IF(C95&lt;=100,75,200))))))*SIN(RADIANS(G95))+L92,0)</f>
        <v>5166</v>
      </c>
      <c r="M95" s="18">
        <f>ROUND((C95*(IF(C95&lt;=1,50,(IF(C95&lt;=10,2.5,IF(C95&lt;=100,1.25,0.625)))))+(IF(C95&lt;=1,0,(IF(C95&lt;=10,50,IF(C95&lt;=100,75,200))))))*COS(RADIANS(G95))+M92,0)</f>
        <v>5854</v>
      </c>
    </row>
    <row r="96" s="24" customFormat="1" ht="11.25"/>
    <row r="97" s="24" customFormat="1" ht="11.25"/>
    <row r="98" spans="2:14" s="16" customFormat="1" ht="11.25">
      <c r="B98" s="17" t="s">
        <v>59</v>
      </c>
      <c r="C98" s="16">
        <v>8.58</v>
      </c>
      <c r="D98" s="16">
        <v>6</v>
      </c>
      <c r="E98" s="16">
        <v>45</v>
      </c>
      <c r="F98" s="16">
        <v>8.9</v>
      </c>
      <c r="G98" s="16">
        <f>180-ROUND((D98+E98/60+F98/3600)*15,0)</f>
        <v>79</v>
      </c>
      <c r="H98" s="16" t="s">
        <v>60</v>
      </c>
      <c r="I98" s="35">
        <v>3</v>
      </c>
      <c r="J98" s="16" t="s">
        <v>23</v>
      </c>
      <c r="K98" s="26">
        <f>ROUND((I98*(IF(I98&lt;=1,50,(IF(I98&lt;=10,2.5,IF(I98&lt;=100,1.25,0.625)))))+(IF(I98&lt;=1,0,(IF(I98&lt;=10,50,IF(I98&lt;=100,75,200))))))*COS(RADIANS(0)),0)</f>
        <v>58</v>
      </c>
      <c r="L98" s="16">
        <f>ROUND(SIN(RADIANS(G98))*C98*Reference!$B$3+$L$4,0)</f>
        <v>5960</v>
      </c>
      <c r="M98" s="16">
        <f>ROUND(COS(RADIANS(G98))*C98*Reference!$B$3+$M$4,0)</f>
        <v>5187</v>
      </c>
      <c r="N98" s="16" t="s">
        <v>278</v>
      </c>
    </row>
    <row r="99" spans="2:13" s="28" customFormat="1" ht="11.25">
      <c r="B99" s="28" t="s">
        <v>216</v>
      </c>
      <c r="C99" s="28">
        <v>20</v>
      </c>
      <c r="D99" s="28">
        <v>0</v>
      </c>
      <c r="G99" s="16">
        <f>180-ROUND((D99+E99/60+F99/3600)*15,0)</f>
        <v>180</v>
      </c>
      <c r="H99" s="28" t="s">
        <v>61</v>
      </c>
      <c r="J99" s="28" t="s">
        <v>73</v>
      </c>
      <c r="L99" s="28">
        <f>ROUND((C99*(IF(C99&lt;=1,50,(IF(C99&lt;=10,2.5,IF(C99&lt;=100,1.25,0.625)))))+(IF(C99&lt;=1,0,(IF(C99&lt;=10,50,IF(C99&lt;=100,75,200))))))*SIN(RADIANS(G99))+L98,0)</f>
        <v>5960</v>
      </c>
      <c r="M99" s="28">
        <f>ROUND((C99*(IF(C99&lt;=1,50,(IF(C99&lt;=10,2.5,IF(C99&lt;=100,1.25,0.625)))))+(IF(C99&lt;=1,0,(IF(C99&lt;=10,50,IF(C99&lt;=100,75,200))))))*COS(RADIANS(G99))+M98,0)</f>
        <v>5087</v>
      </c>
    </row>
    <row r="100" s="24" customFormat="1" ht="11.25"/>
    <row r="101" spans="2:13" s="16" customFormat="1" ht="11.25">
      <c r="B101" s="17" t="s">
        <v>242</v>
      </c>
      <c r="C101" s="16">
        <v>8.7</v>
      </c>
      <c r="D101" s="16">
        <v>1</v>
      </c>
      <c r="E101" s="16">
        <v>39</v>
      </c>
      <c r="F101" s="16">
        <v>1.3</v>
      </c>
      <c r="G101" s="16">
        <f>180-ROUND((D101+E101/60+F101/3600)*15,0)</f>
        <v>155</v>
      </c>
      <c r="H101" s="16" t="s">
        <v>26</v>
      </c>
      <c r="I101" s="35">
        <f>(0.04+0.07)/2</f>
        <v>0.05500000000000001</v>
      </c>
      <c r="J101" s="16" t="s">
        <v>215</v>
      </c>
      <c r="K101" s="26">
        <f>ROUND((I101*(IF(I101&lt;=1,50,(IF(I101&lt;=10,2.5,IF(I101&lt;=100,1.25,0.625)))))+(IF(I101&lt;=1,0,(IF(I101&lt;=10,50,IF(I101&lt;=100,75,200))))))*COS(RADIANS(0)),0)</f>
        <v>3</v>
      </c>
      <c r="L101" s="16">
        <f>ROUND(SIN(RADIANS(G101))*C101*Reference!$B$3+$L$4,0)</f>
        <v>5419</v>
      </c>
      <c r="M101" s="16">
        <f>ROUND(COS(RADIANS(G101))*C101*Reference!$B$3+$M$4,0)</f>
        <v>4101</v>
      </c>
    </row>
    <row r="102" spans="2:13" s="28" customFormat="1" ht="11.25">
      <c r="B102" s="28" t="s">
        <v>277</v>
      </c>
      <c r="C102" s="28">
        <v>5.5</v>
      </c>
      <c r="D102" s="28">
        <v>0</v>
      </c>
      <c r="G102" s="28">
        <f>180-ROUND((D102+E102/60+F102/3600)*15,0)</f>
        <v>180</v>
      </c>
      <c r="H102" s="28" t="s">
        <v>243</v>
      </c>
      <c r="I102" s="35">
        <f>(0.04+0.07)/2</f>
        <v>0.05500000000000001</v>
      </c>
      <c r="J102" s="28" t="s">
        <v>215</v>
      </c>
      <c r="K102" s="26">
        <f>ROUND((I102*(IF(I102&lt;=1,50,(IF(I102&lt;=10,2.5,IF(I102&lt;=100,1.25,0.625)))))+(IF(I102&lt;=1,0,(IF(I102&lt;=10,50,IF(I102&lt;=100,75,200))))))*COS(RADIANS(0)),0)</f>
        <v>3</v>
      </c>
      <c r="L102" s="28">
        <f>ROUND((C102*(IF(C102&lt;=1,50,(IF(C102&lt;=10,2.5,IF(C102&lt;=100,1.25,0.625)))))+(IF(C102&lt;=1,0,(IF(C102&lt;=10,50,IF(C102&lt;=100,75,200))))))*SIN(RADIANS(G102))+L101,0)</f>
        <v>5419</v>
      </c>
      <c r="M102" s="28">
        <f>ROUND((C102*(IF(C102&lt;=1,50,(IF(C102&lt;=10,2.5,IF(C102&lt;=100,1.25,0.625)))))+(IF(C102&lt;=1,0,(IF(C102&lt;=10,50,IF(C102&lt;=100,75,200))))))*COS(RADIANS(G102))+M101,0)</f>
        <v>4037</v>
      </c>
    </row>
    <row r="103" s="24" customFormat="1" ht="11.25"/>
    <row r="104" spans="2:13" s="16" customFormat="1" ht="11.25">
      <c r="B104" s="17" t="s">
        <v>244</v>
      </c>
      <c r="C104" s="16">
        <v>9.7</v>
      </c>
      <c r="D104" s="16">
        <v>18</v>
      </c>
      <c r="E104" s="16">
        <v>49</v>
      </c>
      <c r="F104" s="16">
        <v>49.4</v>
      </c>
      <c r="G104" s="16">
        <f>180-ROUND((D104+E104/60+F104/3600)*15,0)</f>
        <v>-102</v>
      </c>
      <c r="H104" s="16" t="s">
        <v>245</v>
      </c>
      <c r="I104" s="35">
        <v>0.19</v>
      </c>
      <c r="J104" s="16" t="s">
        <v>215</v>
      </c>
      <c r="K104" s="26">
        <f>ROUND((I104*(IF(I104&lt;=1,50,(IF(I104&lt;=10,2.5,IF(I104&lt;=100,1.25,0.625)))))+(IF(I104&lt;=1,0,(IF(I104&lt;=10,50,IF(I104&lt;=100,75,200))))))*COS(RADIANS(0)),0)</f>
        <v>10</v>
      </c>
      <c r="L104" s="16">
        <f>ROUND(SIN(RADIANS(G104))*C104*Reference!$B$3+$L$4,0)</f>
        <v>3918</v>
      </c>
      <c r="M104" s="16">
        <f>ROUND(COS(RADIANS(G104))*C104*Reference!$B$3+$M$4,0)</f>
        <v>4770</v>
      </c>
    </row>
    <row r="105" s="24" customFormat="1" ht="11.25"/>
    <row r="106" spans="2:13" s="16" customFormat="1" ht="11.25">
      <c r="B106" s="17" t="s">
        <v>246</v>
      </c>
      <c r="C106" s="16">
        <v>10.3</v>
      </c>
      <c r="D106" s="16">
        <v>23</v>
      </c>
      <c r="E106" s="16">
        <v>41</v>
      </c>
      <c r="F106" s="16">
        <v>54.7</v>
      </c>
      <c r="G106" s="16">
        <f>180-ROUND((D106+E106/60+F106/3600)*15,0)</f>
        <v>-175</v>
      </c>
      <c r="H106" s="16" t="s">
        <v>247</v>
      </c>
      <c r="J106" s="16" t="s">
        <v>215</v>
      </c>
      <c r="L106" s="16">
        <f>ROUND(SIN(RADIANS(G106))*C106*Reference!$B$3+$L$4,0)</f>
        <v>4898</v>
      </c>
      <c r="M106" s="16">
        <f>ROUND(COS(RADIANS(G106))*C106*Reference!$B$3+$M$4,0)</f>
        <v>3830</v>
      </c>
    </row>
    <row r="107" s="24" customFormat="1" ht="11.25">
      <c r="B107" s="24" t="s">
        <v>262</v>
      </c>
    </row>
    <row r="108" s="24" customFormat="1" ht="11.25"/>
    <row r="109" spans="2:13" s="16" customFormat="1" ht="11.25">
      <c r="B109" s="17" t="s">
        <v>69</v>
      </c>
      <c r="C109" s="16">
        <v>11.4</v>
      </c>
      <c r="D109" s="16">
        <v>7</v>
      </c>
      <c r="E109" s="16">
        <v>39</v>
      </c>
      <c r="F109" s="16">
        <v>18.1</v>
      </c>
      <c r="G109" s="16">
        <f>180-ROUND((D109+E109/60+F109/3600)*15,0)</f>
        <v>65</v>
      </c>
      <c r="H109" s="16" t="s">
        <v>70</v>
      </c>
      <c r="I109" s="16">
        <v>2.7</v>
      </c>
      <c r="J109" s="16" t="s">
        <v>40</v>
      </c>
      <c r="K109" s="26">
        <f>ROUND((I109*(IF(I109&lt;=1,50,(IF(I109&lt;=10,2.5,IF(I109&lt;=100,1.25,0.625)))))+(IF(I109&lt;=1,0,(IF(I109&lt;=10,50,IF(I109&lt;=100,75,200))))))*COS(RADIANS(0)),0)</f>
        <v>57</v>
      </c>
      <c r="L109" s="16">
        <f>ROUND(SIN(RADIANS(G109))*C109*Reference!$B$3+$L$4,0)</f>
        <v>6178</v>
      </c>
      <c r="M109" s="16">
        <f>ROUND(COS(RADIANS(G109))*C109*Reference!$B$3+$M$4,0)</f>
        <v>5549</v>
      </c>
    </row>
    <row r="110" spans="2:13" s="28" customFormat="1" ht="11.25">
      <c r="B110" s="28" t="s">
        <v>71</v>
      </c>
      <c r="C110" s="28">
        <v>16</v>
      </c>
      <c r="D110" s="28">
        <v>0</v>
      </c>
      <c r="G110" s="16">
        <f>180-ROUND((D110+E110/60+F110/3600)*15,0)</f>
        <v>180</v>
      </c>
      <c r="H110" s="28" t="s">
        <v>72</v>
      </c>
      <c r="J110" s="28" t="s">
        <v>73</v>
      </c>
      <c r="L110" s="28">
        <f>ROUND((C110*(IF(C110&lt;=1,50,(IF(C110&lt;=10,2.5,IF(C110&lt;=100,1.25,0.625)))))+(IF(C110&lt;=1,0,(IF(C110&lt;=10,50,IF(C110&lt;=100,75,200))))))*SIN(RADIANS(G110))+L109,0)</f>
        <v>6178</v>
      </c>
      <c r="M110" s="28">
        <f>ROUND((C110*(IF(C110&lt;=1,50,(IF(C110&lt;=10,2.5,IF(C110&lt;=100,1.25,0.625)))))+(IF(C110&lt;=1,0,(IF(C110&lt;=10,50,IF(C110&lt;=100,75,200))))))*COS(RADIANS(G110))+M109,0)</f>
        <v>5454</v>
      </c>
    </row>
    <row r="111" s="24" customFormat="1" ht="11.25"/>
    <row r="112" spans="2:13" s="16" customFormat="1" ht="11.25">
      <c r="B112" s="17" t="s">
        <v>309</v>
      </c>
      <c r="C112" s="16">
        <v>11.4</v>
      </c>
      <c r="D112" s="16">
        <v>21</v>
      </c>
      <c r="E112" s="16">
        <v>6</v>
      </c>
      <c r="F112" s="16">
        <v>53.9</v>
      </c>
      <c r="G112" s="16">
        <f>180-ROUND((D112+E112/60+F112/3600)*15,0)</f>
        <v>-137</v>
      </c>
      <c r="L112" s="16">
        <f>ROUND(SIN(RADIANS(G112))*C112*Reference!$B$3+$L$4,0)</f>
        <v>4114</v>
      </c>
      <c r="M112" s="16">
        <f>ROUND(COS(RADIANS(G112))*C112*Reference!$B$3+$M$4,0)</f>
        <v>4050</v>
      </c>
    </row>
    <row r="113" spans="2:14" s="32" customFormat="1" ht="11.25">
      <c r="B113" s="31" t="s">
        <v>75</v>
      </c>
      <c r="C113" s="32">
        <v>43</v>
      </c>
      <c r="D113" s="32">
        <v>15</v>
      </c>
      <c r="G113" s="32">
        <f>180-ROUND((D113+E113/60+F113/3600)*15,0)</f>
        <v>-45</v>
      </c>
      <c r="H113" s="32" t="s">
        <v>74</v>
      </c>
      <c r="I113" s="32">
        <v>0.39</v>
      </c>
      <c r="J113" s="32" t="s">
        <v>12</v>
      </c>
      <c r="K113" s="26">
        <f>ROUND((I113*(IF(I113&lt;=1,50,(IF(I113&lt;=10,2.5,IF(I113&lt;=100,1.25,0.625)))))+(IF(I113&lt;=1,0,(IF(I113&lt;=10,50,IF(I113&lt;=100,75,200))))))*COS(RADIANS(0)),0)</f>
        <v>20</v>
      </c>
      <c r="L113" s="32">
        <f>ROUND((C113*(IF(C113&lt;=1,50,(IF(C113&lt;=10,2.5,IF(C113&lt;=100,1.25,0.625)))))+(IF(C113&lt;=1,0,(IF(C113&lt;=10,50,IF(C113&lt;=100,75,200))))))*SIN(RADIANS(G113))+L112,0)</f>
        <v>4023</v>
      </c>
      <c r="M113" s="32">
        <f>ROUND((C113*(IF(C113&lt;=1,50,(IF(C113&lt;=10,2.5,IF(C113&lt;=100,1.25,0.625)))))+(IF(C113&lt;=1,0,(IF(C113&lt;=10,50,IF(C113&lt;=100,75,200))))))*COS(RADIANS(G113))+M112,0)</f>
        <v>4141</v>
      </c>
      <c r="N113" s="32" t="s">
        <v>310</v>
      </c>
    </row>
    <row r="114" spans="2:13" s="32" customFormat="1" ht="11.25">
      <c r="B114" s="31" t="s">
        <v>76</v>
      </c>
      <c r="C114" s="32">
        <v>43</v>
      </c>
      <c r="D114" s="32">
        <v>3</v>
      </c>
      <c r="G114" s="32">
        <f>180-ROUND((D114+E114/60+F114/3600)*15,0)</f>
        <v>135</v>
      </c>
      <c r="H114" s="32" t="s">
        <v>74</v>
      </c>
      <c r="I114" s="32">
        <v>0.34</v>
      </c>
      <c r="J114" s="32" t="s">
        <v>12</v>
      </c>
      <c r="K114" s="26">
        <f>ROUND((I114*(IF(I114&lt;=1,50,(IF(I114&lt;=10,2.5,IF(I114&lt;=100,1.25,0.625)))))+(IF(I114&lt;=1,0,(IF(I114&lt;=10,50,IF(I114&lt;=100,75,200))))))*COS(RADIANS(0)),0)</f>
        <v>17</v>
      </c>
      <c r="L114" s="32">
        <f>ROUND((C114*(IF(C114&lt;=1,50,(IF(C114&lt;=10,2.5,IF(C114&lt;=100,1.25,0.625)))))+(IF(C114&lt;=1,0,(IF(C114&lt;=10,50,IF(C114&lt;=100,75,200))))))*SIN(RADIANS(G114))+L112,0)</f>
        <v>4205</v>
      </c>
      <c r="M114" s="32">
        <f>ROUND((C114*(IF(C114&lt;=1,50,(IF(C114&lt;=10,2.5,IF(C114&lt;=100,1.25,0.625)))))+(IF(C114&lt;=1,0,(IF(C114&lt;=10,50,IF(C114&lt;=100,75,200))))))*COS(RADIANS(G114))+M112,0)</f>
        <v>3959</v>
      </c>
    </row>
    <row r="115" s="24" customFormat="1" ht="11.25">
      <c r="B115" s="25"/>
    </row>
    <row r="116" spans="2:13" s="16" customFormat="1" ht="11.25">
      <c r="B116" s="17" t="s">
        <v>77</v>
      </c>
      <c r="C116" s="16">
        <v>11.8</v>
      </c>
      <c r="D116" s="16">
        <v>22</v>
      </c>
      <c r="E116" s="16">
        <v>3</v>
      </c>
      <c r="F116" s="16">
        <v>21.7</v>
      </c>
      <c r="G116" s="16">
        <f>180-ROUND((D116+E116/60+F116/3600)*15,0)</f>
        <v>-151</v>
      </c>
      <c r="H116" s="16" t="s">
        <v>78</v>
      </c>
      <c r="I116" s="16">
        <v>0.38</v>
      </c>
      <c r="J116" s="16" t="s">
        <v>12</v>
      </c>
      <c r="K116" s="26">
        <f>ROUND((I116*(IF(I116&lt;=1,50,(IF(I116&lt;=10,2.5,IF(I116&lt;=100,1.25,0.625)))))+(IF(I116&lt;=1,0,(IF(I116&lt;=10,50,IF(I116&lt;=100,75,200))))))*COS(RADIANS(0)),0)</f>
        <v>19</v>
      </c>
      <c r="L116" s="16">
        <f>ROUND(SIN(RADIANS(G116))*C116*Reference!$B$3+$L$4,0)</f>
        <v>4348</v>
      </c>
      <c r="M116" s="16">
        <f>ROUND(COS(RADIANS(G116))*C116*Reference!$B$3+$M$4,0)</f>
        <v>3823</v>
      </c>
    </row>
    <row r="117" spans="2:15" s="28" customFormat="1" ht="11.25">
      <c r="B117" s="28" t="s">
        <v>79</v>
      </c>
      <c r="C117" s="28">
        <v>1500</v>
      </c>
      <c r="D117" s="28">
        <v>21</v>
      </c>
      <c r="G117" s="16">
        <f>180-ROUND((D117+E117/60+F117/3600)*15,0)</f>
        <v>-135</v>
      </c>
      <c r="H117" s="28" t="s">
        <v>81</v>
      </c>
      <c r="J117" s="28" t="s">
        <v>83</v>
      </c>
      <c r="L117" s="28">
        <f>ROUND((C117*(IF(C117&lt;=1,50,(IF(C117&lt;=10,2.5,IF(C117&lt;=100,1.25,0.625)))))+(IF(C117&lt;=1,0,(IF(C117&lt;=10,50,IF(C117&lt;=100,75,200))))))*SIN(RADIANS(G117))+L116,0)</f>
        <v>3544</v>
      </c>
      <c r="M117" s="28">
        <f>ROUND((C117*(IF(C117&lt;=1,50,(IF(C117&lt;=10,2.5,IF(C117&lt;=100,1.25,0.625)))))+(IF(C117&lt;=1,0,(IF(C117&lt;=10,50,IF(C117&lt;=100,75,200))))))*COS(RADIANS(G117))+M116,0)</f>
        <v>3019</v>
      </c>
      <c r="N117" s="28" t="s">
        <v>89</v>
      </c>
      <c r="O117" s="28" t="s">
        <v>239</v>
      </c>
    </row>
    <row r="118" spans="2:15" s="28" customFormat="1" ht="11.25">
      <c r="B118" s="28" t="s">
        <v>80</v>
      </c>
      <c r="C118" s="28">
        <v>1500</v>
      </c>
      <c r="D118" s="28">
        <v>22</v>
      </c>
      <c r="G118" s="16">
        <f>180-ROUND((D118+E118/60+F118/3600)*15,0)</f>
        <v>-150</v>
      </c>
      <c r="H118" s="28" t="s">
        <v>82</v>
      </c>
      <c r="J118" s="28" t="s">
        <v>83</v>
      </c>
      <c r="L118" s="28">
        <f>ROUND((C118*(IF(C118&lt;=1,50,(IF(C118&lt;=10,2.5,IF(C118&lt;=100,1.25,0.625)))))+(IF(C118&lt;=1,0,(IF(C118&lt;=10,50,IF(C118&lt;=100,75,200))))))*SIN(RADIANS(G118))+L116,0)</f>
        <v>3779</v>
      </c>
      <c r="M118" s="28">
        <f>ROUND((C118*(IF(C118&lt;=1,50,(IF(C118&lt;=10,2.5,IF(C118&lt;=100,1.25,0.625)))))+(IF(C118&lt;=1,0,(IF(C118&lt;=10,50,IF(C118&lt;=100,75,200))))))*COS(RADIANS(G118))+M116,0)</f>
        <v>2838</v>
      </c>
      <c r="N118" s="28" t="s">
        <v>89</v>
      </c>
      <c r="O118" s="28" t="s">
        <v>238</v>
      </c>
    </row>
    <row r="119" s="24" customFormat="1" ht="11.25"/>
    <row r="120" spans="2:13" s="16" customFormat="1" ht="11.25">
      <c r="B120" s="17" t="s">
        <v>240</v>
      </c>
      <c r="C120" s="16">
        <v>15.8</v>
      </c>
      <c r="D120" s="16">
        <v>10</v>
      </c>
      <c r="E120" s="16">
        <v>11</v>
      </c>
      <c r="F120" s="16">
        <v>22.1</v>
      </c>
      <c r="G120" s="16">
        <f>180-ROUND((D120+E120/60+F120/3600)*15,0)</f>
        <v>27</v>
      </c>
      <c r="H120" s="16" t="s">
        <v>241</v>
      </c>
      <c r="J120" s="16" t="s">
        <v>12</v>
      </c>
      <c r="L120" s="16">
        <f>ROUND(SIN(RADIANS(G120))*C120*Reference!$B$3+$L$4,0)</f>
        <v>5818</v>
      </c>
      <c r="M120" s="16">
        <f>ROUND(COS(RADIANS(G120))*C120*Reference!$B$3+$M$4,0)</f>
        <v>6605</v>
      </c>
    </row>
    <row r="121" s="24" customFormat="1" ht="11.25">
      <c r="B121" s="25"/>
    </row>
    <row r="122" spans="2:13" s="16" customFormat="1" ht="11.25">
      <c r="B122" s="17" t="s">
        <v>301</v>
      </c>
      <c r="C122" s="16">
        <v>16.6</v>
      </c>
      <c r="D122" s="16">
        <v>18</v>
      </c>
      <c r="E122" s="16">
        <v>5</v>
      </c>
      <c r="F122" s="16">
        <v>27.29</v>
      </c>
      <c r="G122" s="16">
        <f>180-ROUND((D122+E122/60+F122/3600)*15,0)</f>
        <v>-91</v>
      </c>
      <c r="L122" s="16">
        <f>ROUND(SIN(RADIANS(G122))*C122*Reference!$B$3+$L$4,0)</f>
        <v>3108</v>
      </c>
      <c r="M122" s="16">
        <f>ROUND(COS(RADIANS(G122))*C122*Reference!$B$3+$M$4,0)</f>
        <v>4967</v>
      </c>
    </row>
    <row r="123" spans="2:14" s="32" customFormat="1" ht="11.25">
      <c r="B123" s="32" t="s">
        <v>302</v>
      </c>
      <c r="C123" s="32">
        <v>11.6</v>
      </c>
      <c r="D123" s="32">
        <v>0</v>
      </c>
      <c r="G123" s="32">
        <f>180-ROUND((D123+E123/60+F123/3600)*15,0)</f>
        <v>180</v>
      </c>
      <c r="H123" s="32" t="s">
        <v>250</v>
      </c>
      <c r="I123" s="32">
        <v>0.68</v>
      </c>
      <c r="J123" s="32" t="s">
        <v>12</v>
      </c>
      <c r="K123" s="26">
        <f>ROUND((I123*(IF(I123&lt;=1,50,(IF(I123&lt;=10,2.5,IF(I123&lt;=100,1.25,0.625)))))+(IF(I123&lt;=1,0,(IF(I123&lt;=10,50,IF(I123&lt;=100,75,200))))))*COS(RADIANS(0)),0)</f>
        <v>34</v>
      </c>
      <c r="L123" s="32">
        <f>ROUND((C123*(IF(C123&lt;=1,50,(IF(C123&lt;=10,2.5,IF(C123&lt;=100,1.25,0.625)))))+(IF(C123&lt;=1,0,(IF(C123&lt;=10,50,IF(C123&lt;=100,75,200))))))*SIN(RADIANS(G123))+L122,0)</f>
        <v>3108</v>
      </c>
      <c r="M123" s="32">
        <f>ROUND((C123*(IF(C123&lt;=1,50,(IF(C123&lt;=10,2.5,IF(C123&lt;=100,1.25,0.625)))))+(IF(C123&lt;=1,0,(IF(C123&lt;=10,50,IF(C123&lt;=100,75,200))))))*COS(RADIANS(G123))+M122,0)</f>
        <v>4878</v>
      </c>
      <c r="N123" s="32" t="s">
        <v>303</v>
      </c>
    </row>
    <row r="124" spans="2:14" s="32" customFormat="1" ht="11.25">
      <c r="B124" s="32" t="s">
        <v>251</v>
      </c>
      <c r="C124" s="32">
        <v>11.6</v>
      </c>
      <c r="D124" s="32">
        <v>12</v>
      </c>
      <c r="G124" s="32">
        <f>180-ROUND((D124+E124/60+F124/3600)*15,0)</f>
        <v>0</v>
      </c>
      <c r="H124" s="32" t="s">
        <v>78</v>
      </c>
      <c r="I124" s="32">
        <v>0.3</v>
      </c>
      <c r="J124" s="32" t="s">
        <v>12</v>
      </c>
      <c r="K124" s="26">
        <f>ROUND((I124*(IF(I124&lt;=1,50,(IF(I124&lt;=10,2.5,IF(I124&lt;=100,1.25,0.625)))))+(IF(I124&lt;=1,0,(IF(I124&lt;=10,50,IF(I124&lt;=100,75,200))))))*COS(RADIANS(0)),0)</f>
        <v>15</v>
      </c>
      <c r="L124" s="32">
        <f>ROUND((C124*(IF(C124&lt;=1,50,(IF(C124&lt;=10,2.5,IF(C124&lt;=100,1.25,0.625)))))+(IF(C124&lt;=1,0,(IF(C124&lt;=10,50,IF(C124&lt;=100,75,200))))))*SIN(RADIANS(G124))+L122,0)</f>
        <v>3108</v>
      </c>
      <c r="M124" s="32">
        <f>ROUND((C124*(IF(C124&lt;=1,50,(IF(C124&lt;=10,2.5,IF(C124&lt;=100,1.25,0.625)))))+(IF(C124&lt;=1,0,(IF(C124&lt;=10,50,IF(C124&lt;=100,75,200))))))*COS(RADIANS(G124))+M122,0)</f>
        <v>5057</v>
      </c>
      <c r="N124" s="32" t="s">
        <v>304</v>
      </c>
    </row>
    <row r="125" s="24" customFormat="1" ht="11.25"/>
    <row r="126" spans="2:13" s="16" customFormat="1" ht="11.25">
      <c r="B126" s="17" t="s">
        <v>252</v>
      </c>
      <c r="C126" s="16">
        <v>16.8</v>
      </c>
      <c r="D126" s="16">
        <v>19</v>
      </c>
      <c r="E126" s="16">
        <v>50</v>
      </c>
      <c r="F126" s="16">
        <v>47</v>
      </c>
      <c r="G126" s="16">
        <f>180-ROUND((D126+E126/60+F126/3600)*15,0)</f>
        <v>-118</v>
      </c>
      <c r="H126" s="16" t="s">
        <v>253</v>
      </c>
      <c r="I126" s="16">
        <v>3.4</v>
      </c>
      <c r="J126" s="16" t="s">
        <v>23</v>
      </c>
      <c r="K126" s="26">
        <f>ROUND((I126*(IF(I126&lt;=1,50,(IF(I126&lt;=10,2.5,IF(I126&lt;=100,1.25,0.625)))))+(IF(I126&lt;=1,0,(IF(I126&lt;=10,50,IF(I126&lt;=100,75,200))))))*COS(RADIANS(0)),0)</f>
        <v>59</v>
      </c>
      <c r="L126" s="16">
        <f>ROUND(SIN(RADIANS(G126))*C126*Reference!$B$3+$L$4,0)</f>
        <v>3309</v>
      </c>
      <c r="M126" s="16">
        <f>ROUND(COS(RADIANS(G126))*C126*Reference!$B$3+$M$4,0)</f>
        <v>4101</v>
      </c>
    </row>
    <row r="127" s="24" customFormat="1" ht="11.25">
      <c r="B127" s="25"/>
    </row>
    <row r="128" spans="2:13" s="16" customFormat="1" ht="11.25">
      <c r="B128" s="17" t="s">
        <v>254</v>
      </c>
      <c r="C128" s="16">
        <v>18.8</v>
      </c>
      <c r="D128" s="16">
        <v>19</v>
      </c>
      <c r="E128" s="16">
        <v>32</v>
      </c>
      <c r="F128" s="16">
        <v>22</v>
      </c>
      <c r="G128" s="16">
        <f>180-ROUND((D128+E128/60+F128/3600)*15,0)</f>
        <v>-113</v>
      </c>
      <c r="H128" s="16" t="s">
        <v>255</v>
      </c>
      <c r="I128" s="16">
        <v>0.62</v>
      </c>
      <c r="J128" s="16" t="s">
        <v>12</v>
      </c>
      <c r="K128" s="26">
        <f>ROUND((I128*(IF(I128&lt;=1,50,(IF(I128&lt;=10,2.5,IF(I128&lt;=100,1.25,0.625)))))+(IF(I128&lt;=1,0,(IF(I128&lt;=10,50,IF(I128&lt;=100,75,200))))))*COS(RADIANS(0)),0)</f>
        <v>31</v>
      </c>
      <c r="L128" s="16">
        <f>ROUND(SIN(RADIANS(G128))*C128*Reference!$B$3+$L$4,0)</f>
        <v>3027</v>
      </c>
      <c r="M128" s="16">
        <f>ROUND(COS(RADIANS(G128))*C128*Reference!$B$3+$M$4,0)</f>
        <v>4163</v>
      </c>
    </row>
    <row r="129" s="24" customFormat="1" ht="11.25">
      <c r="B129" s="25"/>
    </row>
    <row r="130" spans="2:13" s="16" customFormat="1" ht="11.25">
      <c r="B130" s="17" t="s">
        <v>256</v>
      </c>
      <c r="C130" s="16">
        <v>19</v>
      </c>
      <c r="D130" s="16">
        <v>14</v>
      </c>
      <c r="E130" s="16">
        <v>57</v>
      </c>
      <c r="F130" s="16">
        <v>28</v>
      </c>
      <c r="G130" s="16">
        <f>180-ROUND((D130+E130/60+F130/3600)*15,0)</f>
        <v>-44</v>
      </c>
      <c r="H130" s="16" t="s">
        <v>74</v>
      </c>
      <c r="I130" s="16">
        <v>0.4</v>
      </c>
      <c r="J130" s="16" t="s">
        <v>12</v>
      </c>
      <c r="K130" s="26">
        <f>ROUND((I130*(IF(I130&lt;=1,50,(IF(I130&lt;=10,2.5,IF(I130&lt;=100,1.25,0.625)))))+(IF(I130&lt;=1,0,(IF(I130&lt;=10,50,IF(I130&lt;=100,75,200))))))*COS(RADIANS(0)),0)</f>
        <v>20</v>
      </c>
      <c r="L130" s="16">
        <f>ROUND(SIN(RADIANS(G130))*C130*Reference!$B$3+$L$4,0)</f>
        <v>3495</v>
      </c>
      <c r="M130" s="16">
        <f>ROUND(COS(RADIANS(G130))*C130*Reference!$B$3+$M$4,0)</f>
        <v>6558</v>
      </c>
    </row>
    <row r="131" spans="2:13" s="28" customFormat="1" ht="11.25">
      <c r="B131" s="27" t="s">
        <v>257</v>
      </c>
      <c r="C131" s="28">
        <v>190</v>
      </c>
      <c r="D131" s="28">
        <v>21</v>
      </c>
      <c r="G131" s="28">
        <f>180-ROUND((D131+E131/60+F131/3600)*15,0)</f>
        <v>-135</v>
      </c>
      <c r="H131" s="28" t="s">
        <v>19</v>
      </c>
      <c r="I131" s="28">
        <v>0.14</v>
      </c>
      <c r="J131" s="28" t="s">
        <v>259</v>
      </c>
      <c r="K131" s="26">
        <f>ROUND((I131*(IF(I131&lt;=1,50,(IF(I131&lt;=10,2.5,IF(I131&lt;=100,1.25,0.625)))))+(IF(I131&lt;=1,0,(IF(I131&lt;=10,50,IF(I131&lt;=100,75,200))))))*COS(RADIANS(0)),0)</f>
        <v>7</v>
      </c>
      <c r="L131" s="28">
        <f>ROUND((C131*(IF(C131&lt;=1,50,(IF(C131&lt;=10,2.5,IF(C131&lt;=100,1.25,0.625)))))+(IF(C131&lt;=1,0,(IF(C131&lt;=10,50,IF(C131&lt;=100,75,200))))))*SIN(RADIANS(G131))+L130,0)</f>
        <v>3270</v>
      </c>
      <c r="M131" s="28">
        <f>ROUND((C131*(IF(C131&lt;=1,50,(IF(C131&lt;=10,2.5,IF(C131&lt;=100,1.25,0.625)))))+(IF(C131&lt;=1,0,(IF(C131&lt;=10,50,IF(C131&lt;=100,75,200))))))*COS(RADIANS(G131))+M130,0)</f>
        <v>6333</v>
      </c>
    </row>
    <row r="132" spans="2:13" s="28" customFormat="1" ht="11.25">
      <c r="B132" s="27" t="s">
        <v>258</v>
      </c>
      <c r="C132" s="28">
        <v>190</v>
      </c>
      <c r="D132" s="28">
        <v>22</v>
      </c>
      <c r="G132" s="28">
        <f>180-ROUND((D132+E132/60+F132/3600)*15,0)</f>
        <v>-150</v>
      </c>
      <c r="H132" s="28" t="s">
        <v>19</v>
      </c>
      <c r="I132" s="28">
        <v>0.056</v>
      </c>
      <c r="J132" s="28" t="s">
        <v>215</v>
      </c>
      <c r="K132" s="26">
        <f>ROUND((I132*(IF(I132&lt;=1,50,(IF(I132&lt;=10,2.5,IF(I132&lt;=100,1.25,0.625)))))+(IF(I132&lt;=1,0,(IF(I132&lt;=10,50,IF(I132&lt;=100,75,200))))))*COS(RADIANS(0)),0)</f>
        <v>3</v>
      </c>
      <c r="L132" s="28">
        <f>ROUND((C132*(IF(C132&lt;=1,50,(IF(C132&lt;=10,2.5,IF(C132&lt;=100,1.25,0.625)))))+(IF(C132&lt;=1,0,(IF(C132&lt;=10,50,IF(C132&lt;=100,75,200))))))*SIN(RADIANS(G132))+L130,0)</f>
        <v>3336</v>
      </c>
      <c r="M132" s="28">
        <f>ROUND((C132*(IF(C132&lt;=1,50,(IF(C132&lt;=10,2.5,IF(C132&lt;=100,1.25,0.625)))))+(IF(C132&lt;=1,0,(IF(C132&lt;=10,50,IF(C132&lt;=100,75,200))))))*COS(RADIANS(G132))+M130,0)</f>
        <v>6282</v>
      </c>
    </row>
    <row r="133" spans="2:14" s="28" customFormat="1" ht="10.5" customHeight="1">
      <c r="B133" s="27" t="s">
        <v>260</v>
      </c>
      <c r="C133" s="28">
        <v>300</v>
      </c>
      <c r="D133" s="28">
        <v>9</v>
      </c>
      <c r="G133" s="28">
        <f>180-ROUND((D133+E133/60+F133/3600)*15,0)</f>
        <v>45</v>
      </c>
      <c r="H133" s="28" t="s">
        <v>114</v>
      </c>
      <c r="J133" s="28" t="s">
        <v>215</v>
      </c>
      <c r="L133" s="28">
        <f>ROUND((C133*(IF(C133&lt;=1,50,(IF(C133&lt;=10,2.5,IF(C133&lt;=100,1.25,0.625)))))+(IF(C133&lt;=1,0,(IF(C133&lt;=10,50,IF(C133&lt;=100,75,200))))))*SIN(RADIANS(G133))+L130,0)</f>
        <v>3769</v>
      </c>
      <c r="M133" s="29">
        <f>ROUND((C133*(IF(C133&lt;=1,50,(IF(C133&lt;=10,2.5,IF(C133&lt;=100,1.25,0.625)))))+(IF(C133&lt;=1,0,(IF(C133&lt;=10,50,IF(C133&lt;=100,75,200))))))*COS(RADIANS(G133))+M130,0)</f>
        <v>6832</v>
      </c>
      <c r="N133" s="28" t="s">
        <v>261</v>
      </c>
    </row>
    <row r="134" s="24" customFormat="1" ht="11.25">
      <c r="B134" s="25"/>
    </row>
    <row r="135" spans="2:13" s="16" customFormat="1" ht="11.25">
      <c r="B135" s="17" t="s">
        <v>308</v>
      </c>
      <c r="C135" s="16">
        <v>19.5</v>
      </c>
      <c r="D135" s="16">
        <v>17</v>
      </c>
      <c r="E135" s="16">
        <v>15</v>
      </c>
      <c r="F135" s="16">
        <v>21</v>
      </c>
      <c r="G135" s="16">
        <f>180-ROUND((D135+E135/60+F135/3600)*15,0)</f>
        <v>-79</v>
      </c>
      <c r="L135" s="16">
        <f>ROUND(SIN(RADIANS(G135))*C135*Reference!$B$3+$L$4,0)</f>
        <v>2818</v>
      </c>
      <c r="M135" s="16">
        <f>ROUND(COS(RADIANS(G135))*C135*Reference!$B$3+$M$4,0)</f>
        <v>5424</v>
      </c>
    </row>
    <row r="136" spans="2:14" s="32" customFormat="1" ht="11.25">
      <c r="B136" s="31" t="s">
        <v>305</v>
      </c>
      <c r="C136" s="32">
        <v>44</v>
      </c>
      <c r="D136" s="32">
        <v>21</v>
      </c>
      <c r="G136" s="32">
        <f>180-ROUND((D136+E136/60+F136/3600)*15,0)</f>
        <v>-135</v>
      </c>
      <c r="H136" s="32" t="s">
        <v>250</v>
      </c>
      <c r="I136" s="32">
        <v>0.54</v>
      </c>
      <c r="J136" s="32" t="s">
        <v>12</v>
      </c>
      <c r="K136" s="26">
        <f>ROUND((I136*(IF(I136&lt;=1,50,(IF(I136&lt;=10,2.5,IF(I136&lt;=100,1.25,0.625)))))+(IF(I136&lt;=1,0,(IF(I136&lt;=10,50,IF(I136&lt;=100,75,200))))))*COS(RADIANS(0)),0)</f>
        <v>27</v>
      </c>
      <c r="L136" s="32">
        <f>ROUND((C136*(IF(C136&lt;=1,50,(IF(C136&lt;=10,2.5,IF(C136&lt;=100,1.25,0.625)))))+(IF(C136&lt;=1,0,(IF(C136&lt;=10,50,IF(C136&lt;=100,75,200))))))*SIN(RADIANS(G136))+L135,0)</f>
        <v>2726</v>
      </c>
      <c r="M136" s="32">
        <f>ROUND((C136*(IF(C136&lt;=1,50,(IF(C136&lt;=10,2.5,IF(C136&lt;=100,1.25,0.625)))))+(IF(C136&lt;=1,0,(IF(C136&lt;=10,50,IF(C136&lt;=100,75,200))))))*COS(RADIANS(G136))+M135,0)</f>
        <v>5332</v>
      </c>
      <c r="N136" s="32" t="s">
        <v>307</v>
      </c>
    </row>
    <row r="137" spans="2:13" s="32" customFormat="1" ht="11.25">
      <c r="B137" s="31" t="s">
        <v>263</v>
      </c>
      <c r="C137" s="32">
        <v>44</v>
      </c>
      <c r="D137" s="32">
        <v>9</v>
      </c>
      <c r="G137" s="32">
        <f>180-ROUND((D137+E137/60+F137/3600)*15,0)</f>
        <v>45</v>
      </c>
      <c r="H137" s="32" t="s">
        <v>250</v>
      </c>
      <c r="I137" s="32">
        <v>0.53</v>
      </c>
      <c r="J137" s="32" t="s">
        <v>12</v>
      </c>
      <c r="K137" s="26">
        <f>ROUND((I137*(IF(I137&lt;=1,50,(IF(I137&lt;=10,2.5,IF(I137&lt;=100,1.25,0.625)))))+(IF(I137&lt;=1,0,(IF(I137&lt;=10,50,IF(I137&lt;=100,75,200))))))*COS(RADIANS(0)),0)</f>
        <v>27</v>
      </c>
      <c r="L137" s="32">
        <f>ROUND((C137*(IF(C137&lt;=1,50,(IF(C137&lt;=10,2.5,IF(C137&lt;=100,1.25,0.625)))))+(IF(C137&lt;=1,0,(IF(C137&lt;=10,50,IF(C137&lt;=100,75,200))))))*SIN(RADIANS(G137))+L135,0)</f>
        <v>2910</v>
      </c>
      <c r="M137" s="32">
        <f>ROUND((C137*(IF(C137&lt;=1,50,(IF(C137&lt;=10,2.5,IF(C137&lt;=100,1.25,0.625)))))+(IF(C137&lt;=1,0,(IF(C137&lt;=10,50,IF(C137&lt;=100,75,200))))))*COS(RADIANS(G137))+M135,0)</f>
        <v>5516</v>
      </c>
    </row>
    <row r="138" spans="2:14" s="32" customFormat="1" ht="11.25">
      <c r="B138" s="31" t="s">
        <v>264</v>
      </c>
      <c r="C138" s="32">
        <v>300</v>
      </c>
      <c r="D138" s="32">
        <v>15</v>
      </c>
      <c r="G138" s="32">
        <f>180-ROUND((D138+E138/60+F138/3600)*15,0)</f>
        <v>-45</v>
      </c>
      <c r="H138" s="32" t="s">
        <v>74</v>
      </c>
      <c r="I138" s="32">
        <v>0.3</v>
      </c>
      <c r="J138" s="32" t="s">
        <v>12</v>
      </c>
      <c r="K138" s="26">
        <f>ROUND((I138*(IF(I138&lt;=1,50,(IF(I138&lt;=10,2.5,IF(I138&lt;=100,1.25,0.625)))))+(IF(I138&lt;=1,0,(IF(I138&lt;=10,50,IF(I138&lt;=100,75,200))))))*COS(RADIANS(0)),0)</f>
        <v>15</v>
      </c>
      <c r="L138" s="32">
        <f>ROUND((C138*(IF(C138&lt;=1,50,(IF(C138&lt;=10,2.5,IF(C138&lt;=100,1.25,0.625)))))+(IF(C138&lt;=1,0,(IF(C138&lt;=10,50,IF(C138&lt;=100,75,200))))))*SIN(RADIANS(G138))+L135,0)</f>
        <v>2544</v>
      </c>
      <c r="M138" s="29">
        <f>ROUND((C138*(IF(C138&lt;=1,50,(IF(C138&lt;=10,2.5,IF(C138&lt;=100,1.25,0.625)))))+(IF(C138&lt;=1,0,(IF(C138&lt;=10,50,IF(C138&lt;=100,75,200))))))*COS(RADIANS(G138))+M135,0)</f>
        <v>5698</v>
      </c>
      <c r="N138" s="32" t="s">
        <v>265</v>
      </c>
    </row>
    <row r="139" s="24" customFormat="1" ht="11.25">
      <c r="B139" s="25"/>
    </row>
    <row r="140" spans="2:13" s="16" customFormat="1" ht="11.25">
      <c r="B140" s="17" t="s">
        <v>266</v>
      </c>
      <c r="C140" s="16">
        <v>25.3</v>
      </c>
      <c r="D140" s="16">
        <v>18</v>
      </c>
      <c r="E140" s="16">
        <v>36</v>
      </c>
      <c r="F140" s="16">
        <v>56</v>
      </c>
      <c r="G140" s="16">
        <f>180-ROUND((D140+E140/60+F140/3600)*15,0)</f>
        <v>-99</v>
      </c>
      <c r="H140" s="16" t="s">
        <v>267</v>
      </c>
      <c r="I140" s="16">
        <v>7.1</v>
      </c>
      <c r="J140" s="16" t="s">
        <v>23</v>
      </c>
      <c r="K140" s="26">
        <f>ROUND((I140*(IF(I140&lt;=1,50,(IF(I140&lt;=10,2.5,IF(I140&lt;=100,1.25,0.625)))))+(IF(I140&lt;=1,0,(IF(I140&lt;=10,50,IF(I140&lt;=100,75,200))))))*COS(RADIANS(0)),0)</f>
        <v>68</v>
      </c>
      <c r="L140" s="16">
        <f>ROUND(SIN(RADIANS(G140))*C140*Reference!$B$3+$L$4,0)</f>
        <v>2151</v>
      </c>
      <c r="M140" s="16">
        <f>ROUND(COS(RADIANS(G140))*C140*Reference!$B$3+$M$4,0)</f>
        <v>4549</v>
      </c>
    </row>
    <row r="141" s="28" customFormat="1" ht="11.25">
      <c r="B141" s="27"/>
    </row>
    <row r="142" s="24" customFormat="1" ht="11.25">
      <c r="B142" s="25"/>
    </row>
    <row r="143" s="24" customFormat="1" ht="11.25">
      <c r="B143" s="25"/>
    </row>
    <row r="144" s="24" customFormat="1" ht="11.25">
      <c r="B144" s="25"/>
    </row>
    <row r="145" spans="4:13" ht="11.25">
      <c r="D145" s="14" t="s">
        <v>249</v>
      </c>
      <c r="L145" s="24"/>
      <c r="M145" s="24"/>
    </row>
    <row r="146" spans="2:13" s="16" customFormat="1" ht="11.25">
      <c r="B146" s="16" t="s">
        <v>62</v>
      </c>
      <c r="C146" s="16">
        <v>40.9</v>
      </c>
      <c r="D146" s="16">
        <v>8</v>
      </c>
      <c r="E146" s="16">
        <v>52</v>
      </c>
      <c r="F146" s="16">
        <v>37</v>
      </c>
      <c r="G146" s="16">
        <f aca="true" t="shared" si="1" ref="G146:G151">180-ROUND((D146+E146/60+F146/3600)*15,0)</f>
        <v>47</v>
      </c>
      <c r="H146" s="16" t="s">
        <v>28</v>
      </c>
      <c r="I146" s="16">
        <f>(0.5+2)/2</f>
        <v>1.25</v>
      </c>
      <c r="J146" s="16" t="s">
        <v>1</v>
      </c>
      <c r="K146" s="26">
        <f>ROUND((I146*(IF(I146&lt;=1,50,(IF(I146&lt;=10,2.5,IF(I146&lt;=100,1.25,0.625)))))+(IF(I146&lt;=1,0,(IF(I146&lt;=10,50,IF(I146&lt;=100,75,200))))))*COS(RADIANS(0)),0)</f>
        <v>53</v>
      </c>
      <c r="L146" s="16">
        <f>ROUND(SIN(RADIANS(G146))*C146*Reference!$B$3+$L$4,0)</f>
        <v>8410</v>
      </c>
      <c r="M146" s="16">
        <f>ROUND(COS(RADIANS(G146))*C146*Reference!$B$3+$M$4,0)</f>
        <v>8180</v>
      </c>
    </row>
    <row r="147" spans="2:13" s="18" customFormat="1" ht="11.25">
      <c r="B147" s="18" t="s">
        <v>217</v>
      </c>
      <c r="C147" s="18">
        <v>0.04</v>
      </c>
      <c r="D147" s="18">
        <v>0</v>
      </c>
      <c r="G147" s="18">
        <f t="shared" si="1"/>
        <v>180</v>
      </c>
      <c r="H147" s="18" t="s">
        <v>90</v>
      </c>
      <c r="J147" s="18" t="s">
        <v>94</v>
      </c>
      <c r="L147" s="18">
        <f>ROUND((C147*(IF(C147&lt;=1,50,(IF(C147&lt;=10,2.5,IF(C147&lt;=100,1.25,0.625)))))+(IF(C147&lt;=1,0,(IF(C147&lt;=10,50,IF(C147&lt;=100,75,200))))))*SIN(RADIANS(G147))+L146,0)</f>
        <v>8410</v>
      </c>
      <c r="M147" s="18">
        <f>ROUND((C147*(IF(C147&lt;=1,50,(IF(C147&lt;=10,2.5,IF(C147&lt;=100,1.25,0.625)))))+(IF(C147&lt;=1,0,(IF(C147&lt;=10,50,IF(C147&lt;=100,75,200))))))*COS(RADIANS(G147))+M146,0)</f>
        <v>8178</v>
      </c>
    </row>
    <row r="148" spans="2:13" s="18" customFormat="1" ht="11.25">
      <c r="B148" s="18" t="s">
        <v>218</v>
      </c>
      <c r="C148" s="18">
        <v>0.115</v>
      </c>
      <c r="D148" s="18">
        <v>6</v>
      </c>
      <c r="G148" s="18">
        <f t="shared" si="1"/>
        <v>90</v>
      </c>
      <c r="H148" s="18" t="s">
        <v>91</v>
      </c>
      <c r="J148" s="18" t="s">
        <v>95</v>
      </c>
      <c r="L148" s="18">
        <f>ROUND((C148*(IF(C148&lt;=1,50,(IF(C148&lt;=10,2.5,IF(C148&lt;=100,1.25,0.625)))))+(IF(C148&lt;=1,0,(IF(C148&lt;=10,50,IF(C148&lt;=100,75,200))))))*SIN(RADIANS(G148))+L146,0)</f>
        <v>8416</v>
      </c>
      <c r="M148" s="18">
        <f>ROUND((C148*(IF(C148&lt;=1,50,(IF(C148&lt;=10,2.5,IF(C148&lt;=100,1.25,0.625)))))+(IF(C148&lt;=1,0,(IF(C148&lt;=10,50,IF(C148&lt;=100,75,200))))))*COS(RADIANS(G148))+M146,0)</f>
        <v>8180</v>
      </c>
    </row>
    <row r="149" spans="2:13" s="18" customFormat="1" ht="11.25">
      <c r="B149" s="18" t="s">
        <v>219</v>
      </c>
      <c r="C149" s="18">
        <v>0.24</v>
      </c>
      <c r="D149" s="18">
        <v>12</v>
      </c>
      <c r="G149" s="18">
        <f t="shared" si="1"/>
        <v>0</v>
      </c>
      <c r="H149" s="18" t="s">
        <v>92</v>
      </c>
      <c r="J149" s="18" t="s">
        <v>96</v>
      </c>
      <c r="L149" s="18">
        <f>ROUND((C149*(IF(C149&lt;=1,50,(IF(C149&lt;=10,2.5,IF(C149&lt;=100,1.25,0.625)))))+(IF(C149&lt;=1,0,(IF(C149&lt;=10,50,IF(C149&lt;=100,75,200))))))*SIN(RADIANS(G149))+L146,0)</f>
        <v>8410</v>
      </c>
      <c r="M149" s="18">
        <f>ROUND((C149*(IF(C149&lt;=1,50,(IF(C149&lt;=10,2.5,IF(C149&lt;=100,1.25,0.625)))))+(IF(C149&lt;=1,0,(IF(C149&lt;=10,50,IF(C149&lt;=100,75,200))))))*COS(RADIANS(G149))+M146,0)</f>
        <v>8192</v>
      </c>
    </row>
    <row r="150" spans="2:13" s="19" customFormat="1" ht="11.25">
      <c r="B150" s="19" t="s">
        <v>220</v>
      </c>
      <c r="C150" s="19">
        <v>0.78</v>
      </c>
      <c r="D150" s="19">
        <v>18</v>
      </c>
      <c r="G150" s="19">
        <f t="shared" si="1"/>
        <v>-90</v>
      </c>
      <c r="H150" s="19" t="s">
        <v>87</v>
      </c>
      <c r="J150" s="19" t="s">
        <v>97</v>
      </c>
      <c r="L150" s="19">
        <f>ROUND((C150*(IF(C150&lt;=1,50,(IF(C150&lt;=10,2.5,IF(C150&lt;=100,1.25,0.625)))))+(IF(C150&lt;=1,0,(IF(C150&lt;=10,50,IF(C150&lt;=100,75,200))))))*SIN(RADIANS(G150))+L146,0)</f>
        <v>8371</v>
      </c>
      <c r="M150" s="19">
        <f>ROUND((C150*(IF(C150&lt;=1,50,(IF(C150&lt;=10,2.5,IF(C150&lt;=100,1.25,0.625)))))+(IF(C150&lt;=1,0,(IF(C150&lt;=10,50,IF(C150&lt;=100,75,200))))))*COS(RADIANS(G150))+M146,0)</f>
        <v>8180</v>
      </c>
    </row>
    <row r="151" spans="2:13" s="18" customFormat="1" ht="11.25">
      <c r="B151" s="18" t="s">
        <v>221</v>
      </c>
      <c r="C151" s="18">
        <v>5.7</v>
      </c>
      <c r="D151" s="18">
        <v>21</v>
      </c>
      <c r="G151" s="18">
        <f t="shared" si="1"/>
        <v>-135</v>
      </c>
      <c r="H151" s="18" t="s">
        <v>93</v>
      </c>
      <c r="J151" s="18" t="s">
        <v>222</v>
      </c>
      <c r="L151" s="18">
        <f>ROUND((C151*(IF(C151&lt;=1,50,(IF(C151&lt;=10,2.5,IF(C151&lt;=100,1.25,0.625)))))+(IF(C151&lt;=1,0,(IF(C151&lt;=10,50,IF(C151&lt;=100,75,200))))))*SIN(RADIANS(G151))+L146,0)</f>
        <v>8365</v>
      </c>
      <c r="M151" s="18">
        <f>ROUND((C151*(IF(C151&lt;=1,50,(IF(C151&lt;=10,2.5,IF(C151&lt;=100,1.25,0.625)))))+(IF(C151&lt;=1,0,(IF(C151&lt;=10,50,IF(C151&lt;=100,75,200))))))*COS(RADIANS(G151))+M146,0)</f>
        <v>8135</v>
      </c>
    </row>
    <row r="152" spans="12:13" ht="11.25">
      <c r="L152" s="24"/>
      <c r="M152" s="24"/>
    </row>
    <row r="153" spans="2:13" s="16" customFormat="1" ht="11.25">
      <c r="B153" s="16" t="s">
        <v>63</v>
      </c>
      <c r="C153" s="16">
        <v>10.17</v>
      </c>
      <c r="D153" s="16">
        <v>22</v>
      </c>
      <c r="E153" s="16">
        <v>53</v>
      </c>
      <c r="F153" s="16">
        <v>13</v>
      </c>
      <c r="G153" s="16">
        <f>180-ROUND((D153+E153/60+F153/3600)*15,0)</f>
        <v>-163</v>
      </c>
      <c r="H153" s="16" t="s">
        <v>64</v>
      </c>
      <c r="I153" s="35">
        <f>(0.112+0.221)/2</f>
        <v>0.1665</v>
      </c>
      <c r="J153" s="16" t="s">
        <v>24</v>
      </c>
      <c r="K153" s="26">
        <f>ROUND((I153*(IF(I153&lt;=1,50,(IF(I153&lt;=10,2.5,IF(I153&lt;=100,1.25,0.625)))))+(IF(I153&lt;=1,0,(IF(I153&lt;=10,50,IF(I153&lt;=100,75,200))))))*COS(RADIANS(0)),0)</f>
        <v>8</v>
      </c>
      <c r="L153" s="16">
        <f>ROUND(SIN(RADIANS(G153))*C153*Reference!$B$3+$L$4,0)</f>
        <v>4661</v>
      </c>
      <c r="M153" s="16">
        <f>ROUND(COS(RADIANS(G153))*C153*Reference!$B$3+$M$4,0)</f>
        <v>3891</v>
      </c>
    </row>
    <row r="154" spans="2:13" s="18" customFormat="1" ht="11.25">
      <c r="B154" s="18" t="s">
        <v>223</v>
      </c>
      <c r="C154" s="18">
        <v>0.02</v>
      </c>
      <c r="D154" s="18">
        <v>0</v>
      </c>
      <c r="G154" s="18">
        <f>180-ROUND((D154+E154/60+F154/3600)*15,0)</f>
        <v>180</v>
      </c>
      <c r="H154" s="18">
        <v>0.018</v>
      </c>
      <c r="J154" s="18" t="s">
        <v>98</v>
      </c>
      <c r="L154" s="18">
        <f>ROUND((C154*(IF(C154&lt;=1,50,(IF(C154&lt;=10,2.5,IF(C154&lt;=100,1.25,0.625)))))+(IF(C154&lt;=1,0,(IF(C154&lt;=10,50,IF(C154&lt;=100,75,200))))))*SIN(RADIANS(G154))+L153,0)</f>
        <v>4661</v>
      </c>
      <c r="M154" s="18">
        <f>ROUND((C154*(IF(C154&lt;=1,50,(IF(C154&lt;=10,2.5,IF(C154&lt;=100,1.25,0.625)))))+(IF(C154&lt;=1,0,(IF(C154&lt;=10,50,IF(C154&lt;=100,75,200))))))*COS(RADIANS(G154))+M153,0)</f>
        <v>3890</v>
      </c>
    </row>
    <row r="155" spans="2:14" s="19" customFormat="1" ht="11.25">
      <c r="B155" s="19" t="s">
        <v>224</v>
      </c>
      <c r="C155" s="19">
        <v>0.13</v>
      </c>
      <c r="D155" s="19">
        <v>8</v>
      </c>
      <c r="G155" s="19">
        <f>180-ROUND((D155+E155/60+F155/3600)*15,0)</f>
        <v>60</v>
      </c>
      <c r="H155" s="19">
        <v>0.56</v>
      </c>
      <c r="J155" s="19" t="s">
        <v>95</v>
      </c>
      <c r="L155" s="19">
        <f>ROUND((C155*(IF(C155&lt;=1,50,(IF(C155&lt;=10,2.5,IF(C155&lt;=100,1.25,0.625)))))+(IF(C155&lt;=1,0,(IF(C155&lt;=10,50,IF(C155&lt;=100,75,200))))))*SIN(RADIANS(G155))+L153,0)</f>
        <v>4667</v>
      </c>
      <c r="M155" s="19">
        <f>ROUND((C155*(IF(C155&lt;=1,50,(IF(C155&lt;=10,2.5,IF(C155&lt;=100,1.25,0.625)))))+(IF(C155&lt;=1,0,(IF(C155&lt;=10,50,IF(C155&lt;=100,75,200))))))*COS(RADIANS(G155))+M153,0)</f>
        <v>3894</v>
      </c>
      <c r="N155" s="19" t="s">
        <v>99</v>
      </c>
    </row>
    <row r="156" spans="2:13" s="19" customFormat="1" ht="11.25">
      <c r="B156" s="19" t="s">
        <v>225</v>
      </c>
      <c r="C156" s="19">
        <v>0.2</v>
      </c>
      <c r="D156" s="19">
        <v>16</v>
      </c>
      <c r="G156" s="19">
        <f>180-ROUND((D156+E156/60+F156/3600)*15,0)</f>
        <v>-60</v>
      </c>
      <c r="H156" s="19">
        <v>1.935</v>
      </c>
      <c r="J156" s="19" t="s">
        <v>95</v>
      </c>
      <c r="L156" s="19">
        <f>ROUND((C156*(IF(C156&lt;=1,50,(IF(C156&lt;=10,2.5,IF(C156&lt;=100,1.25,0.625)))))+(IF(C156&lt;=1,0,(IF(C156&lt;=10,50,IF(C156&lt;=100,75,200))))))*SIN(RADIANS(G156))+L153,0)</f>
        <v>4652</v>
      </c>
      <c r="M156" s="19">
        <f>ROUND((C156*(IF(C156&lt;=1,50,(IF(C156&lt;=10,2.5,IF(C156&lt;=100,1.25,0.625)))))+(IF(C156&lt;=1,0,(IF(C156&lt;=10,50,IF(C156&lt;=100,75,200))))))*COS(RADIANS(G156))+M153,0)</f>
        <v>3896</v>
      </c>
    </row>
    <row r="157" s="24" customFormat="1" ht="11.25"/>
    <row r="158" spans="2:13" s="16" customFormat="1" ht="11.25">
      <c r="B158" s="16" t="s">
        <v>68</v>
      </c>
      <c r="C158" s="16">
        <v>25</v>
      </c>
      <c r="D158" s="16">
        <v>22</v>
      </c>
      <c r="E158" s="16">
        <v>57</v>
      </c>
      <c r="F158" s="16">
        <v>39</v>
      </c>
      <c r="G158" s="16">
        <f>180-ROUND((D158+E158/60+F158/3600)*15,0)</f>
        <v>-164</v>
      </c>
      <c r="H158" s="16" t="s">
        <v>65</v>
      </c>
      <c r="I158" s="16">
        <v>4.1</v>
      </c>
      <c r="J158" s="16" t="s">
        <v>23</v>
      </c>
      <c r="K158" s="26">
        <f>ROUND((I158*(IF(I158&lt;=1,50,(IF(I158&lt;=10,2.5,IF(I158&lt;=100,1.25,0.625)))))+(IF(I158&lt;=1,0,(IF(I158&lt;=10,50,IF(I158&lt;=100,75,200))))))*COS(RADIANS(0)),0)</f>
        <v>60</v>
      </c>
      <c r="L158" s="16">
        <f>ROUND(SIN(RADIANS(G158))*C158*Reference!$B$3+$L$4,0)</f>
        <v>4214</v>
      </c>
      <c r="M158" s="16">
        <f>ROUND(COS(RADIANS(G158))*C158*Reference!$B$3+$M$4,0)</f>
        <v>2260</v>
      </c>
    </row>
    <row r="159" spans="2:14" s="18" customFormat="1" ht="11.25">
      <c r="B159" s="18" t="s">
        <v>226</v>
      </c>
      <c r="C159" s="18">
        <v>115</v>
      </c>
      <c r="D159" s="18">
        <v>0</v>
      </c>
      <c r="G159" s="18">
        <f>180-ROUND((D159+E159/60+F159/3600)*15,0)</f>
        <v>180</v>
      </c>
      <c r="H159" s="18" t="s">
        <v>100</v>
      </c>
      <c r="J159" s="18" t="s">
        <v>145</v>
      </c>
      <c r="L159" s="18">
        <f>ROUND((C159*(IF(C159&lt;=1,50,(IF(C159&lt;=10,2.5,IF(C159&lt;=100,1.25,0.625)))))+(IF(C159&lt;=1,0,(IF(C159&lt;=10,50,IF(C159&lt;=100,75,200))))))*SIN(RADIANS(G159))+L158,0)</f>
        <v>4214</v>
      </c>
      <c r="M159" s="18">
        <f>ROUND((C159*(IF(C159&lt;=1,50,(IF(C159&lt;=10,2.5,IF(C159&lt;=100,1.25,0.625)))))+(IF(C159&lt;=1,0,(IF(C159&lt;=10,50,IF(C159&lt;=100,75,200))))))*COS(RADIANS(G159))+M158,0)</f>
        <v>1988</v>
      </c>
      <c r="N159" s="18" t="s">
        <v>101</v>
      </c>
    </row>
    <row r="160" spans="2:13" s="26" customFormat="1" ht="11.25">
      <c r="B160" s="26" t="s">
        <v>29</v>
      </c>
      <c r="C160" s="26">
        <v>135</v>
      </c>
      <c r="D160" s="26">
        <v>12</v>
      </c>
      <c r="G160" s="26">
        <f>180-ROUND((D160+E160/60+F160/3600)*15,0)</f>
        <v>0</v>
      </c>
      <c r="J160" s="26" t="s">
        <v>172</v>
      </c>
      <c r="L160" s="26">
        <f>ROUND((C160*(IF(C160&lt;=1,50,(IF(C160&lt;=10,2.5,IF(C160&lt;=100,1.25,0.625)))))+(IF(C160&lt;=1,0,(IF(C160&lt;=10,50,IF(C160&lt;=100,75,200))))))*SIN(RADIANS(G160))+L158,0)</f>
        <v>4214</v>
      </c>
      <c r="M160" s="26">
        <f>ROUND((C160*(IF(C160&lt;=1,50,(IF(C160&lt;=10,2.5,IF(C160&lt;=100,1.25,0.625)))))+(IF(C160&lt;=1,0,(IF(C160&lt;=10,50,IF(C160&lt;=100,75,200))))))*COS(RADIANS(G160))+M158,0)</f>
        <v>2544</v>
      </c>
    </row>
    <row r="161" s="24" customFormat="1" ht="11.25"/>
    <row r="162" spans="2:13" s="16" customFormat="1" ht="11.25">
      <c r="B162" s="17" t="s">
        <v>102</v>
      </c>
      <c r="C162" s="16">
        <v>43.9</v>
      </c>
      <c r="D162" s="16">
        <v>1</v>
      </c>
      <c r="E162" s="16">
        <v>36</v>
      </c>
      <c r="F162" s="16">
        <v>48</v>
      </c>
      <c r="G162" s="16">
        <f>180-ROUND((D162+E162/60+F162/3600)*15,0)</f>
        <v>156</v>
      </c>
      <c r="H162" s="16" t="s">
        <v>66</v>
      </c>
      <c r="I162" s="16">
        <f>(1.8+3.5)/2</f>
        <v>2.65</v>
      </c>
      <c r="J162" s="16" t="s">
        <v>40</v>
      </c>
      <c r="K162" s="26">
        <f>ROUND((I162*(IF(I162&lt;=1,50,(IF(I162&lt;=10,2.5,IF(I162&lt;=100,1.25,0.625)))))+(IF(I162&lt;=1,0,(IF(I162&lt;=10,50,IF(I162&lt;=100,75,200))))))*COS(RADIANS(0)),0)</f>
        <v>57</v>
      </c>
      <c r="L162" s="16">
        <f>ROUND(SIN(RADIANS(G162))*C162*Reference!$B$3+$L$4,0)</f>
        <v>7036</v>
      </c>
      <c r="M162" s="16">
        <f>ROUND(COS(RADIANS(G162))*C162*Reference!$B$3+$M$4,0)</f>
        <v>428</v>
      </c>
    </row>
    <row r="163" spans="2:14" s="28" customFormat="1" ht="11.25">
      <c r="B163" s="27" t="s">
        <v>103</v>
      </c>
      <c r="C163" s="27">
        <v>750</v>
      </c>
      <c r="D163" s="28">
        <v>21</v>
      </c>
      <c r="G163" s="28">
        <f>180-ROUND((D163+E163/60+F163/3600)*15,0)</f>
        <v>-135</v>
      </c>
      <c r="H163" s="28" t="s">
        <v>106</v>
      </c>
      <c r="J163" s="28" t="s">
        <v>215</v>
      </c>
      <c r="L163" s="28">
        <f>ROUND((C163*(IF(C163&lt;=1,50,(IF(C163&lt;=10,2.5,IF(C163&lt;=100,1.25,0.625)))))+(IF(C163&lt;=1,0,(IF(C163&lt;=10,50,IF(C163&lt;=100,75,200))))))*SIN(RADIANS(G163))+L162,0)</f>
        <v>6563</v>
      </c>
      <c r="M163" s="29">
        <v>428</v>
      </c>
      <c r="N163" s="28" t="s">
        <v>234</v>
      </c>
    </row>
    <row r="164" spans="2:13" s="18" customFormat="1" ht="11.25">
      <c r="B164" s="18" t="s">
        <v>228</v>
      </c>
      <c r="C164" s="18">
        <v>0.06</v>
      </c>
      <c r="D164" s="18">
        <v>0</v>
      </c>
      <c r="G164" s="18">
        <f>180-ROUND((D164+E164/60+F164/3600)*15,0)</f>
        <v>180</v>
      </c>
      <c r="H164" s="18" t="s">
        <v>104</v>
      </c>
      <c r="J164" s="18" t="s">
        <v>145</v>
      </c>
      <c r="L164" s="18">
        <f>ROUND((C164*(IF(C164&lt;=1,50,(IF(C164&lt;=10,2.5,IF(C164&lt;=100,1.25,0.625)))))+(IF(C164&lt;=1,0,(IF(C164&lt;=10,50,IF(C164&lt;=100,75,200))))))*SIN(RADIANS(G164))+L162,0)</f>
        <v>7036</v>
      </c>
      <c r="M164" s="18">
        <f>ROUND((C164*(IF(C164&lt;=1,50,(IF(C164&lt;=10,2.5,IF(C164&lt;=100,1.25,0.625)))))+(IF(C164&lt;=1,0,(IF(C164&lt;=10,50,IF(C164&lt;=100,75,200))))))*COS(RADIANS(G164))+M162,0)</f>
        <v>425</v>
      </c>
    </row>
    <row r="165" spans="2:13" s="18" customFormat="1" ht="11.25">
      <c r="B165" s="18" t="s">
        <v>227</v>
      </c>
      <c r="C165" s="18">
        <v>0.8</v>
      </c>
      <c r="D165" s="18">
        <v>8</v>
      </c>
      <c r="G165" s="18">
        <f>180-ROUND((D165+E165/60+F165/3600)*15,0)</f>
        <v>60</v>
      </c>
      <c r="H165" s="18" t="s">
        <v>105</v>
      </c>
      <c r="J165" s="18" t="s">
        <v>145</v>
      </c>
      <c r="L165" s="18">
        <f>ROUND((C165*(IF(C165&lt;=1,50,(IF(C165&lt;=10,2.5,IF(C165&lt;=100,1.25,0.625)))))+(IF(C165&lt;=1,0,(IF(C165&lt;=10,50,IF(C165&lt;=100,75,200))))))*SIN(RADIANS(G165))+L162,0)</f>
        <v>7071</v>
      </c>
      <c r="M165" s="18">
        <f>ROUND((C165*(IF(C165&lt;=1,50,(IF(C165&lt;=10,2.5,IF(C165&lt;=100,1.25,0.625)))))+(IF(C165&lt;=1,0,(IF(C165&lt;=10,50,IF(C165&lt;=100,75,200))))))*COS(RADIANS(G165))+M162,0)</f>
        <v>448</v>
      </c>
    </row>
    <row r="166" spans="2:13" s="18" customFormat="1" ht="11.25">
      <c r="B166" s="18" t="s">
        <v>229</v>
      </c>
      <c r="C166" s="18">
        <v>2.5</v>
      </c>
      <c r="D166" s="18">
        <v>16</v>
      </c>
      <c r="G166" s="18">
        <f>180-ROUND((D166+E166/60+F166/3600)*15,0)</f>
        <v>-60</v>
      </c>
      <c r="H166" s="18" t="s">
        <v>93</v>
      </c>
      <c r="J166" s="18" t="s">
        <v>145</v>
      </c>
      <c r="L166" s="18">
        <f>ROUND((C166*(IF(C166&lt;=1,50,(IF(C166&lt;=10,2.5,IF(C166&lt;=100,1.25,0.625)))))+(IF(C166&lt;=1,0,(IF(C166&lt;=10,50,IF(C166&lt;=100,75,200))))))*SIN(RADIANS(G166))+L162,0)</f>
        <v>6987</v>
      </c>
      <c r="M166" s="18">
        <f>ROUND((C166*(IF(C166&lt;=1,50,(IF(C166&lt;=10,2.5,IF(C166&lt;=100,1.25,0.625)))))+(IF(C166&lt;=1,0,(IF(C166&lt;=10,50,IF(C166&lt;=100,75,200))))))*COS(RADIANS(G166))+M162,0)</f>
        <v>456</v>
      </c>
    </row>
    <row r="167" s="24" customFormat="1" ht="11.25"/>
    <row r="168" spans="2:13" s="16" customFormat="1" ht="11.25">
      <c r="B168" s="16" t="s">
        <v>231</v>
      </c>
      <c r="C168" s="16">
        <v>33.48</v>
      </c>
      <c r="D168" s="16">
        <v>11</v>
      </c>
      <c r="E168" s="16">
        <v>42</v>
      </c>
      <c r="F168" s="16">
        <v>11</v>
      </c>
      <c r="G168" s="16">
        <f>180-ROUND((D168+E168/60+F168/3600)*15,0)</f>
        <v>4</v>
      </c>
      <c r="H168" s="16" t="s">
        <v>67</v>
      </c>
      <c r="I168" s="16">
        <v>0.16</v>
      </c>
      <c r="J168" s="16" t="s">
        <v>24</v>
      </c>
      <c r="K168" s="26">
        <f>ROUND((I168*(IF(I168&lt;=1,50,(IF(I168&lt;=10,2.5,IF(I168&lt;=100,1.25,0.625)))))+(IF(I168&lt;=1,0,(IF(I168&lt;=10,50,IF(I168&lt;=100,75,200))))))*COS(RADIANS(0)),0)</f>
        <v>8</v>
      </c>
      <c r="L168" s="16">
        <f>ROUND(SIN(RADIANS(G168))*C168*Reference!$B$3+$L$4,0)</f>
        <v>5266</v>
      </c>
      <c r="M168" s="16">
        <f>ROUND(COS(RADIANS(G168))*C168*Reference!$B$3+$M$4,0)</f>
        <v>8807</v>
      </c>
    </row>
    <row r="169" spans="2:13" s="18" customFormat="1" ht="11.25">
      <c r="B169" s="18" t="s">
        <v>230</v>
      </c>
      <c r="C169" s="18">
        <v>0.03</v>
      </c>
      <c r="D169" s="18">
        <v>0</v>
      </c>
      <c r="G169" s="18">
        <f>180-ROUND((D169+E169/60+F169/3600)*15,0)</f>
        <v>180</v>
      </c>
      <c r="H169" s="18">
        <v>0.072</v>
      </c>
      <c r="J169" s="18" t="s">
        <v>382</v>
      </c>
      <c r="L169" s="18">
        <f>ROUND((C169*(IF(C169&lt;=1,50,(IF(C169&lt;=10,2.5,IF(C169&lt;=100,1.25,0.625)))))+(IF(C169&lt;=1,0,(IF(C169&lt;=10,50,IF(C169&lt;=100,75,200))))))*SIN(RADIANS(G169))+L168,0)</f>
        <v>5266</v>
      </c>
      <c r="M169" s="18">
        <f>ROUND((C169*(IF(C169&lt;=1,50,(IF(C169&lt;=10,2.5,IF(C169&lt;=100,1.25,0.625)))))+(IF(C169&lt;=1,0,(IF(C169&lt;=10,50,IF(C169&lt;=100,75,200))))))*COS(RADIANS(G169))+M168,0)</f>
        <v>8806</v>
      </c>
    </row>
    <row r="171" spans="2:14" s="16" customFormat="1" ht="11.25">
      <c r="B171" s="17" t="s">
        <v>284</v>
      </c>
      <c r="C171" s="16">
        <v>20.4</v>
      </c>
      <c r="D171" s="16">
        <v>15</v>
      </c>
      <c r="E171" s="16">
        <v>19</v>
      </c>
      <c r="F171" s="16">
        <v>27</v>
      </c>
      <c r="G171" s="16">
        <f>180-ROUND((D171+E171/60+F171/3600)*15,0)</f>
        <v>-50</v>
      </c>
      <c r="H171" s="16" t="s">
        <v>285</v>
      </c>
      <c r="I171" s="16">
        <f>(0.11+0.28)/2</f>
        <v>0.195</v>
      </c>
      <c r="J171" s="16" t="s">
        <v>215</v>
      </c>
      <c r="K171" s="26">
        <f>ROUND((I171*(IF(I171&lt;=1,50,(IF(I171&lt;=10,2.5,IF(I171&lt;=100,1.25,0.625)))))+(IF(I171&lt;=1,0,(IF(I171&lt;=10,50,IF(I171&lt;=100,75,200))))))*COS(RADIANS(0)),0)</f>
        <v>10</v>
      </c>
      <c r="L171" s="16">
        <f>ROUND(SIN(RADIANS(G171))*C171*Reference!$B$3+$L$4,0)</f>
        <v>3218</v>
      </c>
      <c r="M171" s="16">
        <f>ROUND(COS(RADIANS(G171))*C171*Reference!$B$3+$M$4,0)</f>
        <v>6495</v>
      </c>
      <c r="N171" s="16" t="s">
        <v>300</v>
      </c>
    </row>
    <row r="172" spans="1:14" ht="11.25">
      <c r="A172" s="18"/>
      <c r="B172" s="18" t="s">
        <v>286</v>
      </c>
      <c r="C172" s="18">
        <v>0.3</v>
      </c>
      <c r="D172" s="18">
        <v>0</v>
      </c>
      <c r="E172" s="18"/>
      <c r="F172" s="18"/>
      <c r="G172" s="18">
        <f>180-ROUND((D172+E172/60+F172/3600)*15,0)</f>
        <v>180</v>
      </c>
      <c r="H172" s="18">
        <v>0.006</v>
      </c>
      <c r="I172" s="18"/>
      <c r="J172" s="18"/>
      <c r="K172" s="18"/>
      <c r="L172" s="18">
        <f>ROUND((C172*(IF(C172&lt;=1,50,(IF(C172&lt;=10,2.5,IF(C172&lt;=100,1.25,0.625)))))+(IF(C172&lt;=1,0,(IF(C172&lt;=10,50,IF(C172&lt;=100,75,200))))))*SIN(RADIANS(G172))+L171,0)</f>
        <v>3218</v>
      </c>
      <c r="M172" s="18">
        <f>ROUND((C172*(IF(C172&lt;=1,50,(IF(C172&lt;=10,2.5,IF(C172&lt;=100,1.25,0.625)))))+(IF(C172&lt;=1,0,(IF(C172&lt;=10,50,IF(C172&lt;=100,75,200))))))*COS(RADIANS(G172))+M171,0)</f>
        <v>6480</v>
      </c>
      <c r="N172" s="18" t="s">
        <v>292</v>
      </c>
    </row>
    <row r="173" spans="1:14" ht="11.25">
      <c r="A173" s="18"/>
      <c r="B173" s="18" t="s">
        <v>287</v>
      </c>
      <c r="C173" s="18">
        <v>0.4</v>
      </c>
      <c r="D173" s="18">
        <v>6</v>
      </c>
      <c r="E173" s="18"/>
      <c r="F173" s="18"/>
      <c r="G173" s="18">
        <f>180-ROUND((D173+E173/60+F173/3600)*15,0)</f>
        <v>90</v>
      </c>
      <c r="H173" s="18">
        <v>0.05</v>
      </c>
      <c r="I173" s="18"/>
      <c r="J173" s="18" t="s">
        <v>146</v>
      </c>
      <c r="K173" s="18"/>
      <c r="L173" s="18">
        <f>ROUND((C173*(IF(C173&lt;=1,50,(IF(C173&lt;=10,2.5,IF(C173&lt;=100,1.25,0.625)))))+(IF(C173&lt;=1,0,(IF(C173&lt;=10,50,IF(C173&lt;=100,75,200))))))*SIN(RADIANS(G173))+L171,0)</f>
        <v>3238</v>
      </c>
      <c r="M173" s="18">
        <f>ROUND((C173*(IF(C173&lt;=1,50,(IF(C173&lt;=10,2.5,IF(C173&lt;=100,1.25,0.625)))))+(IF(C173&lt;=1,0,(IF(C173&lt;=10,50,IF(C173&lt;=100,75,200))))))*COS(RADIANS(G173))+M171,0)</f>
        <v>6495</v>
      </c>
      <c r="N173" s="18" t="s">
        <v>293</v>
      </c>
    </row>
    <row r="174" spans="2:14" s="19" customFormat="1" ht="11.25">
      <c r="B174" s="19" t="s">
        <v>288</v>
      </c>
      <c r="C174" s="19">
        <v>0.7</v>
      </c>
      <c r="D174" s="19">
        <v>12</v>
      </c>
      <c r="G174" s="19">
        <f>180-ROUND((D174+E174/60+F174/3600)*15,0)</f>
        <v>0</v>
      </c>
      <c r="H174" s="19">
        <v>0.017</v>
      </c>
      <c r="J174" s="19" t="s">
        <v>295</v>
      </c>
      <c r="L174" s="19">
        <f>ROUND((C174*(IF(C174&lt;=1,50,(IF(C174&lt;=10,2.5,IF(C174&lt;=100,1.25,0.625)))))+(IF(C174&lt;=1,0,(IF(C174&lt;=10,50,IF(C174&lt;=100,75,200))))))*SIN(RADIANS(G174))+L171,0)</f>
        <v>3218</v>
      </c>
      <c r="M174" s="19">
        <f>ROUND((C174*(IF(C174&lt;=1,50,(IF(C174&lt;=10,2.5,IF(C174&lt;=100,1.25,0.625)))))+(IF(C174&lt;=1,0,(IF(C174&lt;=10,50,IF(C174&lt;=100,75,200))))))*COS(RADIANS(G174))+M171,0)</f>
        <v>6530</v>
      </c>
      <c r="N174" s="19" t="s">
        <v>294</v>
      </c>
    </row>
    <row r="175" spans="2:14" s="19" customFormat="1" ht="11.25">
      <c r="B175" s="19" t="s">
        <v>289</v>
      </c>
      <c r="C175" s="19">
        <v>2.2</v>
      </c>
      <c r="D175" s="19">
        <v>18</v>
      </c>
      <c r="G175" s="19">
        <f>180-ROUND((D175+E175/60+F175/3600)*15,0)</f>
        <v>-90</v>
      </c>
      <c r="H175" s="19">
        <v>0.022</v>
      </c>
      <c r="J175" s="19" t="s">
        <v>290</v>
      </c>
      <c r="L175" s="19">
        <f>ROUND((C175*(IF(C175&lt;=1,50,(IF(C175&lt;=10,2.5,IF(C175&lt;=100,1.25,0.625)))))+(IF(C175&lt;=1,0,(IF(C175&lt;=10,50,IF(C175&lt;=100,75,200))))))*SIN(RADIANS(G175))+L171,0)</f>
        <v>3163</v>
      </c>
      <c r="M175" s="19">
        <f>ROUND((C175*(IF(C175&lt;=1,50,(IF(C175&lt;=10,2.5,IF(C175&lt;=100,1.25,0.625)))))+(IF(C175&lt;=1,0,(IF(C175&lt;=10,50,IF(C175&lt;=100,75,200))))))*COS(RADIANS(G175))+M171,0)</f>
        <v>6495</v>
      </c>
      <c r="N175" s="19" t="s">
        <v>291</v>
      </c>
    </row>
    <row r="177" spans="2:14" s="16" customFormat="1" ht="11.25">
      <c r="B177" s="17" t="s">
        <v>378</v>
      </c>
      <c r="C177" s="16">
        <v>14.8</v>
      </c>
      <c r="D177" s="16">
        <v>12</v>
      </c>
      <c r="E177" s="16">
        <v>28</v>
      </c>
      <c r="F177" s="16">
        <v>40</v>
      </c>
      <c r="G177" s="16">
        <f>180-ROUND((D177+E177/60+F177/3600)*15,0)</f>
        <v>-7</v>
      </c>
      <c r="H177" s="16" t="s">
        <v>296</v>
      </c>
      <c r="I177" s="16">
        <v>0.13</v>
      </c>
      <c r="J177" s="16" t="s">
        <v>215</v>
      </c>
      <c r="K177" s="26">
        <f>ROUND((I177*(IF(I177&lt;=1,50,(IF(I177&lt;=10,2.5,IF(I177&lt;=100,1.25,0.625)))))+(IF(I177&lt;=1,0,(IF(I177&lt;=10,50,IF(I177&lt;=100,75,200))))))*COS(RADIANS(0)),0)</f>
        <v>7</v>
      </c>
      <c r="L177" s="16">
        <f>ROUND(SIN(RADIANS(G177))*C177*Reference!$B$3+$L$4,0)</f>
        <v>4794</v>
      </c>
      <c r="M177" s="16">
        <f>ROUND(COS(RADIANS(G177))*C177*Reference!$B$3+$M$4,0)</f>
        <v>6675</v>
      </c>
      <c r="N177" s="16" t="s">
        <v>300</v>
      </c>
    </row>
    <row r="178" spans="2:15" s="18" customFormat="1" ht="11.25">
      <c r="B178" s="18" t="s">
        <v>297</v>
      </c>
      <c r="C178" s="18">
        <v>0.39</v>
      </c>
      <c r="D178" s="18">
        <v>0</v>
      </c>
      <c r="G178" s="18">
        <f>180-ROUND((D178+E178/60+F178/3600)*15,0)</f>
        <v>180</v>
      </c>
      <c r="H178" s="18">
        <v>0.037</v>
      </c>
      <c r="J178" s="18" t="s">
        <v>107</v>
      </c>
      <c r="L178" s="18">
        <f>ROUND((C178*(IF(C178&lt;=1,50,(IF(C178&lt;=10,2.5,IF(C178&lt;=100,1.25,0.625)))))+(IF(C178&lt;=1,0,(IF(C178&lt;=10,50,IF(C178&lt;=100,75,200))))))*SIN(RADIANS(G178))+L177,0)</f>
        <v>4794</v>
      </c>
      <c r="M178" s="18">
        <f>ROUND((C178*(IF(C178&lt;=1,50,(IF(C178&lt;=10,2.5,IF(C178&lt;=100,1.25,0.625)))))+(IF(C178&lt;=1,0,(IF(C178&lt;=10,50,IF(C178&lt;=100,75,200))))))*COS(RADIANS(G178))+M177,0)</f>
        <v>6656</v>
      </c>
      <c r="N178" s="18" t="s">
        <v>298</v>
      </c>
      <c r="O178" s="18" t="s">
        <v>107</v>
      </c>
    </row>
    <row r="180" spans="2:13" s="16" customFormat="1" ht="11.25">
      <c r="B180" s="17" t="s">
        <v>377</v>
      </c>
      <c r="C180" s="16">
        <v>16.1</v>
      </c>
      <c r="D180" s="16">
        <v>21</v>
      </c>
      <c r="E180" s="16">
        <v>33</v>
      </c>
      <c r="F180" s="16">
        <v>34</v>
      </c>
      <c r="G180" s="16">
        <f>180-ROUND((D180+E180/60+F180/3600)*15,0)</f>
        <v>-143</v>
      </c>
      <c r="H180" s="16" t="s">
        <v>299</v>
      </c>
      <c r="I180" s="16">
        <v>0.08</v>
      </c>
      <c r="J180" s="16" t="s">
        <v>215</v>
      </c>
      <c r="K180" s="26">
        <f>ROUND((I180*(IF(I180&lt;=1,50,(IF(I180&lt;=10,2.5,IF(I180&lt;=100,1.25,0.625)))))+(IF(I180&lt;=1,0,(IF(I180&lt;=10,50,IF(I180&lt;=100,75,200))))))*COS(RADIANS(0)),0)</f>
        <v>4</v>
      </c>
      <c r="L180" s="16">
        <f>ROUND(SIN(RADIANS(G180))*C180*Reference!$B$3+$L$4,0)</f>
        <v>3895</v>
      </c>
      <c r="M180" s="16">
        <f>ROUND(COS(RADIANS(G180))*C180*Reference!$B$3+$M$4,0)</f>
        <v>3534</v>
      </c>
    </row>
    <row r="181" spans="2:13" s="18" customFormat="1" ht="11.25">
      <c r="B181" s="18" t="s">
        <v>373</v>
      </c>
      <c r="C181" s="18">
        <v>3.4</v>
      </c>
      <c r="D181" s="18">
        <v>0</v>
      </c>
      <c r="G181" s="18">
        <f>180-ROUND((D181+E181/60+F181/3600)*15,0)</f>
        <v>180</v>
      </c>
      <c r="H181" s="18">
        <v>0.64</v>
      </c>
      <c r="J181" s="18" t="s">
        <v>372</v>
      </c>
      <c r="L181" s="18">
        <f>ROUND((C181*(IF(C181&lt;=1,50,(IF(C181&lt;=10,2.5,IF(C181&lt;=100,1.25,0.625)))))+(IF(C181&lt;=1,0,(IF(C181&lt;=10,50,IF(C181&lt;=100,75,200))))))*SIN(RADIANS(G181))+L180,0)</f>
        <v>3895</v>
      </c>
      <c r="M181" s="18">
        <f>ROUND((C181*(IF(C181&lt;=1,50,(IF(C181&lt;=10,2.5,IF(C181&lt;=100,1.25,0.625)))))+(IF(C181&lt;=1,0,(IF(C181&lt;=10,50,IF(C181&lt;=100,75,200))))))*COS(RADIANS(G181))+M180,0)</f>
        <v>3476</v>
      </c>
    </row>
    <row r="183" spans="2:13" s="16" customFormat="1" ht="11.25">
      <c r="B183" s="17" t="s">
        <v>321</v>
      </c>
      <c r="C183" s="16">
        <f>3.85*3.26</f>
        <v>12.551</v>
      </c>
      <c r="D183" s="16">
        <v>18</v>
      </c>
      <c r="E183" s="16">
        <v>45</v>
      </c>
      <c r="F183" s="16">
        <v>7</v>
      </c>
      <c r="G183" s="16">
        <f>180-ROUND((D183+E183/60+F183/3600)*15,0)</f>
        <v>-101</v>
      </c>
      <c r="H183" s="16" t="s">
        <v>324</v>
      </c>
      <c r="J183" s="16" t="s">
        <v>215</v>
      </c>
      <c r="K183" s="26">
        <f>ROUND((I183*(IF(I183&lt;=1,50,(IF(I183&lt;=10,2.5,IF(I183&lt;=100,1.25,0.625)))))+(IF(I183&lt;=1,0,(IF(I183&lt;=10,50,IF(I183&lt;=100,75,200))))))*COS(RADIANS(0)),0)</f>
        <v>0</v>
      </c>
      <c r="L183" s="16">
        <f>ROUND(SIN(RADIANS(G183))*C183*Reference!$B$3+$L$4,0)</f>
        <v>3595</v>
      </c>
      <c r="M183" s="16">
        <f>ROUND(COS(RADIANS(G183))*C183*Reference!$B$3+$M$4,0)</f>
        <v>4727</v>
      </c>
    </row>
    <row r="184" spans="2:13" s="18" customFormat="1" ht="11.25">
      <c r="B184" s="18" t="s">
        <v>322</v>
      </c>
      <c r="C184" s="18">
        <v>4.5</v>
      </c>
      <c r="D184" s="18">
        <v>0</v>
      </c>
      <c r="G184" s="18">
        <f>180-ROUND((D184+E184/60+F184/3600)*15,0)</f>
        <v>180</v>
      </c>
      <c r="H184" s="18" t="s">
        <v>323</v>
      </c>
      <c r="J184" s="18" t="s">
        <v>372</v>
      </c>
      <c r="L184" s="18">
        <f>ROUND((C184*(IF(C184&lt;=1,50,(IF(C184&lt;=10,2.5,IF(C184&lt;=100,1.25,0.625)))))+(IF(C184&lt;=1,0,(IF(C184&lt;=10,50,IF(C184&lt;=100,75,200))))))*SIN(RADIANS(G184))+L183,0)</f>
        <v>3595</v>
      </c>
      <c r="M184" s="18">
        <f>ROUND((C184*(IF(C184&lt;=1,50,(IF(C184&lt;=10,2.5,IF(C184&lt;=100,1.25,0.625)))))+(IF(C184&lt;=1,0,(IF(C184&lt;=10,50,IF(C184&lt;=100,75,200))))))*COS(RADIANS(G184))+M183,0)</f>
        <v>4666</v>
      </c>
    </row>
    <row r="186" spans="2:13" s="16" customFormat="1" ht="11.25">
      <c r="B186" s="17" t="s">
        <v>374</v>
      </c>
      <c r="C186" s="16">
        <f>8.8*3.26</f>
        <v>28.688</v>
      </c>
      <c r="D186" s="16">
        <v>22</v>
      </c>
      <c r="E186" s="16">
        <v>9</v>
      </c>
      <c r="F186" s="16">
        <v>40</v>
      </c>
      <c r="G186" s="16">
        <f>180-ROUND((D186+E186/60+F186/3600)*15,0)</f>
        <v>-152</v>
      </c>
      <c r="H186" s="16" t="s">
        <v>375</v>
      </c>
      <c r="I186" s="16">
        <v>0.066</v>
      </c>
      <c r="J186" s="16" t="s">
        <v>215</v>
      </c>
      <c r="K186" s="26">
        <f>ROUND((I186*(IF(I186&lt;=1,50,(IF(I186&lt;=10,2.5,IF(I186&lt;=100,1.25,0.625)))))+(IF(I186&lt;=1,0,(IF(I186&lt;=10,50,IF(I186&lt;=100,75,200))))))*COS(RADIANS(0)),0)</f>
        <v>3</v>
      </c>
      <c r="L186" s="16">
        <f>ROUND(SIN(RADIANS(G186))*C186*Reference!$B$3+$L$4,0)</f>
        <v>3465</v>
      </c>
      <c r="M186" s="16">
        <f>ROUND(COS(RADIANS(G186))*C186*Reference!$B$3+$M$4,0)</f>
        <v>2112</v>
      </c>
    </row>
    <row r="187" spans="2:13" s="18" customFormat="1" ht="11.25">
      <c r="B187" s="18" t="s">
        <v>376</v>
      </c>
      <c r="C187" s="18">
        <v>0.95</v>
      </c>
      <c r="D187" s="18">
        <v>0</v>
      </c>
      <c r="G187" s="18">
        <f>180-ROUND((D187+E187/60+F187/3600)*15,0)</f>
        <v>180</v>
      </c>
      <c r="H187" s="18">
        <v>1.2</v>
      </c>
      <c r="J187" s="18" t="s">
        <v>372</v>
      </c>
      <c r="L187" s="18">
        <f>ROUND((C187*(IF(C187&lt;=1,50,(IF(C187&lt;=10,2.5,IF(C187&lt;=100,1.25,0.625)))))+(IF(C187&lt;=1,0,(IF(C187&lt;=10,50,IF(C187&lt;=100,75,200))))))*SIN(RADIANS(G187))+L186,0)</f>
        <v>3465</v>
      </c>
      <c r="M187" s="18">
        <f>ROUND((C187*(IF(C187&lt;=1,50,(IF(C187&lt;=10,2.5,IF(C187&lt;=100,1.25,0.625)))))+(IF(C187&lt;=1,0,(IF(C187&lt;=10,50,IF(C187&lt;=100,75,200))))))*COS(RADIANS(G187))+M186,0)</f>
        <v>2065</v>
      </c>
    </row>
    <row r="189" spans="2:13" s="16" customFormat="1" ht="11.25">
      <c r="B189" s="17" t="s">
        <v>395</v>
      </c>
      <c r="C189" s="16">
        <f>9.17*3.26</f>
        <v>29.894199999999998</v>
      </c>
      <c r="D189" s="16">
        <v>8</v>
      </c>
      <c r="E189" s="16">
        <v>40</v>
      </c>
      <c r="F189" s="16">
        <v>59</v>
      </c>
      <c r="G189" s="16">
        <f>180-ROUND((D189+E189/60+F189/3600)*15,0)</f>
        <v>50</v>
      </c>
      <c r="H189" s="16" t="s">
        <v>375</v>
      </c>
      <c r="I189" s="16">
        <v>0.066</v>
      </c>
      <c r="J189" s="16" t="s">
        <v>215</v>
      </c>
      <c r="K189" s="26">
        <f>ROUND((I189*(IF(I189&lt;=1,50,(IF(I189&lt;=10,2.5,IF(I189&lt;=100,1.25,0.625)))))+(IF(I189&lt;=1,0,(IF(I189&lt;=10,50,IF(I189&lt;=100,75,200))))))*COS(RADIANS(0)),0)</f>
        <v>3</v>
      </c>
      <c r="L189" s="16">
        <f>ROUND(SIN(RADIANS(G189))*C189*Reference!$B$3+$L$4,0)</f>
        <v>7611</v>
      </c>
      <c r="M189" s="16">
        <f>ROUND(COS(RADIANS(G189))*C189*Reference!$B$3+$M$4,0)</f>
        <v>7191</v>
      </c>
    </row>
    <row r="190" spans="2:13" s="18" customFormat="1" ht="11.25">
      <c r="B190" s="18" t="s">
        <v>396</v>
      </c>
      <c r="C190" s="18">
        <v>0.95</v>
      </c>
      <c r="D190" s="18">
        <v>0</v>
      </c>
      <c r="G190" s="18">
        <f>180-ROUND((D190+E190/60+F190/3600)*15,0)</f>
        <v>180</v>
      </c>
      <c r="H190" s="18">
        <v>1.2</v>
      </c>
      <c r="J190" s="18" t="s">
        <v>372</v>
      </c>
      <c r="L190" s="18">
        <f>ROUND((C190*(IF(C190&lt;=1,50,(IF(C190&lt;=10,2.5,IF(C190&lt;=100,1.25,0.625)))))+(IF(C190&lt;=1,0,(IF(C190&lt;=10,50,IF(C190&lt;=100,75,200))))))*SIN(RADIANS(G190))+L189,0)</f>
        <v>7611</v>
      </c>
      <c r="M190" s="18">
        <f>ROUND((C190*(IF(C190&lt;=1,50,(IF(C190&lt;=10,2.5,IF(C190&lt;=100,1.25,0.625)))))+(IF(C190&lt;=1,0,(IF(C190&lt;=10,50,IF(C190&lt;=100,75,200))))))*COS(RADIANS(G190))+M189,0)</f>
        <v>7144</v>
      </c>
    </row>
    <row r="192" spans="2:13" s="16" customFormat="1" ht="11.25">
      <c r="B192" s="17" t="s">
        <v>380</v>
      </c>
      <c r="C192" s="16">
        <f>9.4*3.26</f>
        <v>30.644</v>
      </c>
      <c r="D192" s="16">
        <v>4</v>
      </c>
      <c r="E192" s="16">
        <v>42</v>
      </c>
      <c r="F192" s="16">
        <v>56</v>
      </c>
      <c r="G192" s="16">
        <f>180-ROUND((D192+E192/60+F192/3600)*15,0)</f>
        <v>109</v>
      </c>
      <c r="H192" s="16" t="s">
        <v>381</v>
      </c>
      <c r="J192" s="16" t="s">
        <v>215</v>
      </c>
      <c r="K192" s="26">
        <f>ROUND((I192*(IF(I192&lt;=1,50,(IF(I192&lt;=10,2.5,IF(I192&lt;=100,1.25,0.625)))))+(IF(I192&lt;=1,0,(IF(I192&lt;=10,50,IF(I192&lt;=100,75,200))))))*COS(RADIANS(0)),0)</f>
        <v>0</v>
      </c>
      <c r="L192" s="16">
        <f>ROUND(SIN(RADIANS(G192))*C192*Reference!$B$3+$L$4,0)</f>
        <v>8303</v>
      </c>
      <c r="M192" s="16">
        <f>ROUND(COS(RADIANS(G192))*C192*Reference!$B$3+$M$4,0)</f>
        <v>3863</v>
      </c>
    </row>
    <row r="193" spans="2:13" s="18" customFormat="1" ht="11.25">
      <c r="B193" s="18" t="s">
        <v>379</v>
      </c>
      <c r="C193" s="18">
        <v>0.066</v>
      </c>
      <c r="D193" s="18">
        <v>0</v>
      </c>
      <c r="G193" s="18">
        <f>180-ROUND((D193+E193/60+F193/3600)*15,0)</f>
        <v>180</v>
      </c>
      <c r="H193" s="18">
        <v>0.0265</v>
      </c>
      <c r="J193" s="18" t="s">
        <v>382</v>
      </c>
      <c r="L193" s="18">
        <f>ROUND((C193*(IF(C193&lt;=1,50,(IF(C193&lt;=10,2.5,IF(C193&lt;=100,1.25,0.625)))))+(IF(C193&lt;=1,0,(IF(C193&lt;=10,50,IF(C193&lt;=100,75,200))))))*SIN(RADIANS(G193))+L192,0)</f>
        <v>8303</v>
      </c>
      <c r="M193" s="18">
        <f>ROUND((C193*(IF(C193&lt;=1,50,(IF(C193&lt;=10,2.5,IF(C193&lt;=100,1.25,0.625)))))+(IF(C193&lt;=1,0,(IF(C193&lt;=10,50,IF(C193&lt;=100,75,200))))))*COS(RADIANS(G193))+M192,0)</f>
        <v>3860</v>
      </c>
    </row>
    <row r="195" spans="2:13" s="16" customFormat="1" ht="11.25">
      <c r="B195" s="17" t="s">
        <v>385</v>
      </c>
      <c r="C195" s="16">
        <f>10.34*3.26</f>
        <v>33.7084</v>
      </c>
      <c r="D195" s="16">
        <v>7</v>
      </c>
      <c r="E195" s="16">
        <v>45</v>
      </c>
      <c r="F195" s="16">
        <v>18</v>
      </c>
      <c r="G195" s="16">
        <f>180-ROUND((D195+E195/60+F195/3600)*15,0)</f>
        <v>64</v>
      </c>
      <c r="H195" s="16" t="s">
        <v>383</v>
      </c>
      <c r="I195" s="16">
        <v>5.7</v>
      </c>
      <c r="J195" s="16" t="s">
        <v>12</v>
      </c>
      <c r="K195" s="26">
        <f>ROUND((I195*(IF(I195&lt;=1,50,(IF(I195&lt;=10,2.5,IF(I195&lt;=100,1.25,0.625)))))+(IF(I195&lt;=1,0,(IF(I195&lt;=10,50,IF(I195&lt;=100,75,200))))))*COS(RADIANS(0)),0)</f>
        <v>64</v>
      </c>
      <c r="L195" s="16">
        <f>ROUND(SIN(RADIANS(G195))*C195*Reference!$B$3+$L$4,0)</f>
        <v>8454</v>
      </c>
      <c r="M195" s="16">
        <f>ROUND(COS(RADIANS(G195))*C195*Reference!$B$3+$M$4,0)</f>
        <v>6685</v>
      </c>
    </row>
    <row r="196" spans="2:13" s="18" customFormat="1" ht="11.25">
      <c r="B196" s="18" t="s">
        <v>384</v>
      </c>
      <c r="C196" s="18">
        <v>1.69</v>
      </c>
      <c r="D196" s="18">
        <v>0</v>
      </c>
      <c r="G196" s="18">
        <f>180-ROUND((D196+E196/60+F196/3600)*15,0)</f>
        <v>180</v>
      </c>
      <c r="H196" s="18">
        <v>2.9</v>
      </c>
      <c r="J196" s="18" t="s">
        <v>337</v>
      </c>
      <c r="L196" s="18">
        <f>ROUND((C196*(IF(C196&lt;=1,50,(IF(C196&lt;=10,2.5,IF(C196&lt;=100,1.25,0.625)))))+(IF(C196&lt;=1,0,(IF(C196&lt;=10,50,IF(C196&lt;=100,75,200))))))*SIN(RADIANS(G196))+L195,0)</f>
        <v>8454</v>
      </c>
      <c r="M196" s="18">
        <f>ROUND((C196*(IF(C196&lt;=1,50,(IF(C196&lt;=10,2.5,IF(C196&lt;=100,1.25,0.625)))))+(IF(C196&lt;=1,0,(IF(C196&lt;=10,50,IF(C196&lt;=100,75,200))))))*COS(RADIANS(G196))+M195,0)</f>
        <v>6631</v>
      </c>
    </row>
    <row r="198" spans="2:13" s="16" customFormat="1" ht="11.25">
      <c r="B198" s="17" t="s">
        <v>386</v>
      </c>
      <c r="C198" s="16">
        <f>11*3.26</f>
        <v>35.86</v>
      </c>
      <c r="D198" s="16">
        <v>2</v>
      </c>
      <c r="E198" s="16">
        <v>10</v>
      </c>
      <c r="F198" s="16">
        <v>14</v>
      </c>
      <c r="G198" s="16">
        <f>180-ROUND((D198+E198/60+F198/3600)*15,0)</f>
        <v>147</v>
      </c>
      <c r="H198" s="16" t="s">
        <v>11</v>
      </c>
      <c r="I198" s="16">
        <v>0.594</v>
      </c>
      <c r="J198" s="16" t="s">
        <v>12</v>
      </c>
      <c r="K198" s="26">
        <f>ROUND((I198*(IF(I198&lt;=1,50,(IF(I198&lt;=10,2.5,IF(I198&lt;=100,1.25,0.625)))))+(IF(I198&lt;=1,0,(IF(I198&lt;=10,50,IF(I198&lt;=100,75,200))))))*COS(RADIANS(0)),0)</f>
        <v>30</v>
      </c>
      <c r="L198" s="16">
        <f>ROUND(SIN(RADIANS(G198))*C198*Reference!$B$3+$L$4,0)</f>
        <v>7227</v>
      </c>
      <c r="M198" s="16">
        <f>ROUND(COS(RADIANS(G198))*C198*Reference!$B$3+$M$4,0)</f>
        <v>1571</v>
      </c>
    </row>
    <row r="199" spans="2:13" s="18" customFormat="1" ht="11.25">
      <c r="B199" s="18" t="s">
        <v>387</v>
      </c>
      <c r="C199" s="18">
        <v>0.11</v>
      </c>
      <c r="D199" s="18">
        <v>0</v>
      </c>
      <c r="G199" s="18">
        <f>180-ROUND((D199+E199/60+F199/3600)*15,0)</f>
        <v>180</v>
      </c>
      <c r="H199" s="18">
        <v>4.01</v>
      </c>
      <c r="J199" s="18" t="s">
        <v>349</v>
      </c>
      <c r="L199" s="18">
        <f>ROUND((C199*(IF(C199&lt;=1,50,(IF(C199&lt;=10,2.5,IF(C199&lt;=100,1.25,0.625)))))+(IF(C199&lt;=1,0,(IF(C199&lt;=10,50,IF(C199&lt;=100,75,200))))))*SIN(RADIANS(G199))+L198,0)</f>
        <v>7227</v>
      </c>
      <c r="M199" s="18">
        <f>ROUND((C199*(IF(C199&lt;=1,50,(IF(C199&lt;=10,2.5,IF(C199&lt;=100,1.25,0.625)))))+(IF(C199&lt;=1,0,(IF(C199&lt;=10,50,IF(C199&lt;=100,75,200))))))*COS(RADIANS(G199))+M198,0)</f>
        <v>1566</v>
      </c>
    </row>
    <row r="200" spans="2:13" s="18" customFormat="1" ht="11.25">
      <c r="B200" s="18" t="s">
        <v>388</v>
      </c>
      <c r="C200" s="18">
        <v>21</v>
      </c>
      <c r="D200" s="18">
        <v>12</v>
      </c>
      <c r="G200" s="18">
        <f>180-ROUND((D200+E200/60+F200/3600)*15,0)</f>
        <v>0</v>
      </c>
      <c r="J200" s="18" t="s">
        <v>73</v>
      </c>
      <c r="L200" s="18">
        <f>ROUND((C200*(IF(C200&lt;=1,50,(IF(C200&lt;=10,2.5,IF(C200&lt;=100,1.25,0.625)))))+(IF(C200&lt;=1,0,(IF(C200&lt;=10,50,IF(C200&lt;=100,75,200))))))*SIN(RADIANS(G200))+L199,0)</f>
        <v>7227</v>
      </c>
      <c r="M200" s="18">
        <f>ROUND((C200*(IF(C200&lt;=1,50,(IF(C200&lt;=10,2.5,IF(C200&lt;=100,1.25,0.625)))))+(IF(C200&lt;=1,0,(IF(C200&lt;=10,50,IF(C200&lt;=100,75,200))))))*COS(RADIANS(G200))+M199,0)</f>
        <v>1667</v>
      </c>
    </row>
    <row r="202" spans="2:13" s="16" customFormat="1" ht="11.25">
      <c r="B202" s="17" t="s">
        <v>398</v>
      </c>
      <c r="C202" s="16">
        <f>11*3.26</f>
        <v>35.86</v>
      </c>
      <c r="D202" s="16">
        <v>0</v>
      </c>
      <c r="E202" s="16">
        <v>39</v>
      </c>
      <c r="F202" s="16">
        <v>21</v>
      </c>
      <c r="G202" s="16">
        <f>180-ROUND((D202+E202/60+F202/3600)*15,0)</f>
        <v>170</v>
      </c>
      <c r="H202" s="16" t="s">
        <v>390</v>
      </c>
      <c r="I202" s="16">
        <v>0.68</v>
      </c>
      <c r="J202" s="16" t="s">
        <v>12</v>
      </c>
      <c r="K202" s="26">
        <f>ROUND((I202*(IF(I202&lt;=1,50,(IF(I202&lt;=10,2.5,IF(I202&lt;=100,1.25,0.625)))))+(IF(I202&lt;=1,0,(IF(I202&lt;=10,50,IF(I202&lt;=100,75,200))))))*COS(RADIANS(0)),0)</f>
        <v>34</v>
      </c>
      <c r="L202" s="16">
        <f>ROUND(SIN(RADIANS(G202))*C202*Reference!$B$3+$L$4,0)</f>
        <v>5710</v>
      </c>
      <c r="M202" s="16">
        <f>ROUND(COS(RADIANS(G202))*C202*Reference!$B$3+$M$4,0)</f>
        <v>974</v>
      </c>
    </row>
    <row r="203" spans="2:13" s="18" customFormat="1" ht="11.25">
      <c r="B203" s="18" t="s">
        <v>389</v>
      </c>
      <c r="C203" s="18">
        <v>0.284</v>
      </c>
      <c r="D203" s="18">
        <v>0</v>
      </c>
      <c r="G203" s="18">
        <f>180-ROUND((D203+E203/60+F203/3600)*15,0)</f>
        <v>180</v>
      </c>
      <c r="H203" s="18">
        <v>0.2</v>
      </c>
      <c r="J203" s="18" t="s">
        <v>343</v>
      </c>
      <c r="L203" s="18">
        <f>ROUND((C203*(IF(C203&lt;=1,50,(IF(C203&lt;=10,2.5,IF(C203&lt;=100,1.25,0.625)))))+(IF(C203&lt;=1,0,(IF(C203&lt;=10,50,IF(C203&lt;=100,75,200))))))*SIN(RADIANS(G203))+L202,0)</f>
        <v>5710</v>
      </c>
      <c r="M203" s="18">
        <f>ROUND((C203*(IF(C203&lt;=1,50,(IF(C203&lt;=10,2.5,IF(C203&lt;=100,1.25,0.625)))))+(IF(C203&lt;=1,0,(IF(C203&lt;=10,50,IF(C203&lt;=100,75,200))))))*COS(RADIANS(G203))+M202,0)</f>
        <v>960</v>
      </c>
    </row>
    <row r="204" spans="2:13" s="18" customFormat="1" ht="11.25">
      <c r="B204" s="18" t="s">
        <v>397</v>
      </c>
      <c r="C204" s="18">
        <v>480</v>
      </c>
      <c r="D204" s="18">
        <v>12</v>
      </c>
      <c r="G204" s="18">
        <f>180-ROUND((D204+E204/60+F204/3600)*15,0)</f>
        <v>0</v>
      </c>
      <c r="H204" s="18">
        <v>20</v>
      </c>
      <c r="J204" s="18" t="s">
        <v>83</v>
      </c>
      <c r="L204" s="18">
        <f>ROUND((C204*(IF(C204&lt;=1,50,(IF(C204&lt;=10,2.5,IF(C204&lt;=100,1.25,0.625)))))+(IF(C204&lt;=1,0,(IF(C204&lt;=10,50,IF(C204&lt;=100,75,200))))))*SIN(RADIANS(G204))+L203,0)</f>
        <v>5710</v>
      </c>
      <c r="M204" s="18">
        <f>ROUND((C204*(IF(C204&lt;=1,50,(IF(C204&lt;=10,2.5,IF(C204&lt;=100,1.25,0.625)))))+(IF(C204&lt;=1,0,(IF(C204&lt;=10,50,IF(C204&lt;=100,75,200))))))*COS(RADIANS(G204))+M203,0)</f>
        <v>1460</v>
      </c>
    </row>
    <row r="206" spans="2:13" s="16" customFormat="1" ht="11.25">
      <c r="B206" s="17" t="s">
        <v>391</v>
      </c>
      <c r="C206" s="16">
        <f>12.6*3.26</f>
        <v>41.07599999999999</v>
      </c>
      <c r="D206" s="16">
        <v>0</v>
      </c>
      <c r="E206" s="16">
        <v>39</v>
      </c>
      <c r="F206" s="16">
        <v>21</v>
      </c>
      <c r="G206" s="16">
        <f>180-ROUND((D206+E206/60+F206/3600)*15,0)</f>
        <v>170</v>
      </c>
      <c r="H206" s="16" t="s">
        <v>390</v>
      </c>
      <c r="I206" s="16">
        <v>0.75</v>
      </c>
      <c r="J206" s="16" t="s">
        <v>12</v>
      </c>
      <c r="K206" s="26">
        <f>ROUND((I206*(IF(I206&lt;=1,50,(IF(I206&lt;=10,2.5,IF(I206&lt;=100,1.25,0.625)))))+(IF(I206&lt;=1,0,(IF(I206&lt;=10,50,IF(I206&lt;=100,75,200))))))*COS(RADIANS(0)),0)</f>
        <v>38</v>
      </c>
      <c r="L206" s="16">
        <f>ROUND(SIN(RADIANS(G206))*C206*Reference!$B$3+$L$4,0)</f>
        <v>5813</v>
      </c>
      <c r="M206" s="16">
        <f>ROUND(COS(RADIANS(G206))*C206*Reference!$B$3+$M$4,0)</f>
        <v>388</v>
      </c>
    </row>
    <row r="207" spans="2:14" s="18" customFormat="1" ht="11.25">
      <c r="B207" s="18" t="s">
        <v>392</v>
      </c>
      <c r="C207" s="18">
        <v>0.079</v>
      </c>
      <c r="D207" s="18">
        <v>6</v>
      </c>
      <c r="G207" s="18">
        <f>180-ROUND((D207+E207/60+F207/3600)*15,0)</f>
        <v>90</v>
      </c>
      <c r="H207" s="18">
        <v>0.033</v>
      </c>
      <c r="J207" s="18" t="s">
        <v>146</v>
      </c>
      <c r="L207" s="18">
        <f>ROUND((C207*(IF(C207&lt;=1,50,(IF(C207&lt;=10,2.5,IF(C207&lt;=100,1.25,0.625)))))+(IF(C207&lt;=1,0,(IF(C207&lt;=10,50,IF(C207&lt;=100,75,200))))))*SIN(RADIANS(G207))+L206,0)</f>
        <v>5817</v>
      </c>
      <c r="M207" s="18">
        <f>ROUND((C207*(IF(C207&lt;=1,50,(IF(C207&lt;=10,2.5,IF(C207&lt;=100,1.25,0.625)))))+(IF(C207&lt;=1,0,(IF(C207&lt;=10,50,IF(C207&lt;=100,75,200))))))*COS(RADIANS(G207))+M206,0)</f>
        <v>388</v>
      </c>
      <c r="N207" s="18" t="s">
        <v>399</v>
      </c>
    </row>
    <row r="208" spans="2:14" s="18" customFormat="1" ht="11.25">
      <c r="B208" s="18" t="s">
        <v>393</v>
      </c>
      <c r="C208" s="18">
        <v>0.186</v>
      </c>
      <c r="D208" s="18">
        <v>12</v>
      </c>
      <c r="G208" s="18">
        <f>180-ROUND((D208+E208/60+F208/3600)*15,0)</f>
        <v>0</v>
      </c>
      <c r="H208" s="18">
        <v>0.038</v>
      </c>
      <c r="J208" s="18" t="s">
        <v>146</v>
      </c>
      <c r="L208" s="18">
        <f>ROUND((C208*(IF(C208&lt;=1,50,(IF(C208&lt;=10,2.5,IF(C208&lt;=100,1.25,0.625)))))+(IF(C208&lt;=1,0,(IF(C208&lt;=10,50,IF(C208&lt;=100,75,200))))))*SIN(RADIANS(G208))+L206,0)</f>
        <v>5813</v>
      </c>
      <c r="M208" s="18">
        <f>ROUND((C208*(IF(C208&lt;=1,50,(IF(C208&lt;=10,2.5,IF(C208&lt;=100,1.25,0.625)))))+(IF(C208&lt;=1,0,(IF(C208&lt;=10,50,IF(C208&lt;=100,75,200))))))*COS(RADIANS(G208))+M206,0)</f>
        <v>397</v>
      </c>
      <c r="N208" s="18" t="s">
        <v>400</v>
      </c>
    </row>
    <row r="209" spans="2:14" s="19" customFormat="1" ht="11.25">
      <c r="B209" s="19" t="s">
        <v>394</v>
      </c>
      <c r="C209" s="19">
        <v>0.63</v>
      </c>
      <c r="D209" s="19">
        <v>18</v>
      </c>
      <c r="G209" s="19">
        <f>180-ROUND((D209+E209/60+F209/3600)*15,0)</f>
        <v>-90</v>
      </c>
      <c r="H209" s="19">
        <v>0.058</v>
      </c>
      <c r="J209" s="19" t="s">
        <v>146</v>
      </c>
      <c r="L209" s="19">
        <f>ROUND((C209*(IF(C209&lt;=1,50,(IF(C209&lt;=10,2.5,IF(C209&lt;=100,1.25,0.625)))))+(IF(C209&lt;=1,0,(IF(C209&lt;=10,50,IF(C209&lt;=100,75,200))))))*SIN(RADIANS(G209))+L206,0)</f>
        <v>5782</v>
      </c>
      <c r="M209" s="19">
        <f>ROUND((C209*(IF(C209&lt;=1,50,(IF(C209&lt;=10,2.5,IF(C209&lt;=100,1.25,0.625)))))+(IF(C209&lt;=1,0,(IF(C209&lt;=10,50,IF(C209&lt;=100,75,200))))))*COS(RADIANS(G209))+M206,0)</f>
        <v>388</v>
      </c>
      <c r="N209" s="19" t="s">
        <v>401</v>
      </c>
    </row>
    <row r="210" spans="2:13" s="21" customFormat="1" ht="11.25">
      <c r="B210" s="21" t="s">
        <v>29</v>
      </c>
      <c r="C210" s="21">
        <v>0.93</v>
      </c>
      <c r="D210" s="21">
        <v>0</v>
      </c>
      <c r="G210" s="21">
        <f>180-ROUND((D210+E210/60+F210/3600)*15,0)</f>
        <v>180</v>
      </c>
      <c r="H210" s="21">
        <v>0.058</v>
      </c>
      <c r="J210" s="21" t="s">
        <v>146</v>
      </c>
      <c r="L210" s="21">
        <f>ROUND((C210*(IF(C210&lt;=1,50,(IF(C210&lt;=10,2.5,IF(C210&lt;=100,1.25,0.625)))))+(IF(C210&lt;=1,0,(IF(C210&lt;=10,50,IF(C210&lt;=100,75,200))))))*SIN(RADIANS(G210))+L206,0)</f>
        <v>5813</v>
      </c>
      <c r="M210" s="21">
        <f>ROUND((C210*(IF(C210&lt;=1,50,(IF(C210&lt;=10,2.5,IF(C210&lt;=100,1.25,0.625)))))+(IF(C210&lt;=1,0,(IF(C210&lt;=10,50,IF(C210&lt;=100,75,200))))))*COS(RADIANS(G210))+M206,0)</f>
        <v>342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0"/>
  <sheetViews>
    <sheetView workbookViewId="0" topLeftCell="A7">
      <selection activeCell="E37" sqref="E37"/>
    </sheetView>
  </sheetViews>
  <sheetFormatPr defaultColWidth="9.140625" defaultRowHeight="12.75"/>
  <cols>
    <col min="1" max="1" width="15.28125" style="0" bestFit="1" customWidth="1"/>
    <col min="2" max="2" width="15.7109375" style="0" bestFit="1" customWidth="1"/>
    <col min="8" max="8" width="11.28125" style="0" bestFit="1" customWidth="1"/>
  </cols>
  <sheetData>
    <row r="1" spans="2:3" ht="12.75">
      <c r="B1" s="1" t="s">
        <v>210</v>
      </c>
      <c r="C1" s="1" t="s">
        <v>109</v>
      </c>
    </row>
    <row r="2" spans="1:3" ht="12.75">
      <c r="A2" s="1" t="s">
        <v>209</v>
      </c>
      <c r="B2">
        <v>5000</v>
      </c>
      <c r="C2">
        <v>5000</v>
      </c>
    </row>
    <row r="3" spans="1:3" ht="12.75">
      <c r="A3" t="s">
        <v>232</v>
      </c>
      <c r="B3">
        <f>ROUND(B2/43.9,0)</f>
        <v>114</v>
      </c>
      <c r="C3" t="s">
        <v>233</v>
      </c>
    </row>
    <row r="6" spans="1:8" ht="12.75">
      <c r="A6" s="4" t="s">
        <v>110</v>
      </c>
      <c r="B6" s="4" t="s">
        <v>0</v>
      </c>
      <c r="C6" s="4" t="s">
        <v>111</v>
      </c>
      <c r="H6" t="s">
        <v>152</v>
      </c>
    </row>
    <row r="7" spans="1:9" ht="12.75">
      <c r="A7" s="6" t="s">
        <v>129</v>
      </c>
      <c r="B7" s="6" t="s">
        <v>21</v>
      </c>
      <c r="C7" s="6" t="s">
        <v>21</v>
      </c>
      <c r="H7" s="2" t="s">
        <v>1</v>
      </c>
      <c r="I7" t="s">
        <v>153</v>
      </c>
    </row>
    <row r="8" spans="1:9" ht="12.75">
      <c r="A8" s="5" t="s">
        <v>14</v>
      </c>
      <c r="B8" s="5" t="s">
        <v>21</v>
      </c>
      <c r="C8" s="5" t="s">
        <v>21</v>
      </c>
      <c r="H8" s="8" t="s">
        <v>156</v>
      </c>
      <c r="I8" t="s">
        <v>155</v>
      </c>
    </row>
    <row r="9" spans="1:9" ht="12.75">
      <c r="A9" s="5" t="s">
        <v>15</v>
      </c>
      <c r="B9" s="5" t="s">
        <v>22</v>
      </c>
      <c r="C9" s="5" t="s">
        <v>21</v>
      </c>
      <c r="H9" s="7" t="s">
        <v>154</v>
      </c>
      <c r="I9" t="s">
        <v>158</v>
      </c>
    </row>
    <row r="10" spans="1:9" ht="12.75">
      <c r="A10" s="5" t="s">
        <v>16</v>
      </c>
      <c r="B10" s="5" t="s">
        <v>23</v>
      </c>
      <c r="C10" s="5" t="s">
        <v>23</v>
      </c>
      <c r="H10" s="9" t="s">
        <v>159</v>
      </c>
      <c r="I10" t="s">
        <v>157</v>
      </c>
    </row>
    <row r="11" spans="1:9" ht="12.75">
      <c r="A11" s="5" t="s">
        <v>17</v>
      </c>
      <c r="B11" s="5" t="s">
        <v>112</v>
      </c>
      <c r="C11" s="5" t="s">
        <v>23</v>
      </c>
      <c r="H11" s="10" t="s">
        <v>160</v>
      </c>
      <c r="I11" t="s">
        <v>161</v>
      </c>
    </row>
    <row r="12" spans="1:9" ht="12.75">
      <c r="A12" s="5" t="s">
        <v>18</v>
      </c>
      <c r="B12" s="5" t="s">
        <v>1</v>
      </c>
      <c r="C12" s="5" t="s">
        <v>1</v>
      </c>
      <c r="H12" s="11" t="s">
        <v>12</v>
      </c>
      <c r="I12" t="s">
        <v>197</v>
      </c>
    </row>
    <row r="13" spans="1:9" ht="12.75">
      <c r="A13" s="5" t="s">
        <v>20</v>
      </c>
      <c r="B13" s="5" t="s">
        <v>12</v>
      </c>
      <c r="C13" s="5" t="s">
        <v>1</v>
      </c>
      <c r="H13" s="12" t="s">
        <v>198</v>
      </c>
      <c r="I13" t="s">
        <v>196</v>
      </c>
    </row>
    <row r="14" spans="1:9" ht="12.75">
      <c r="A14" s="5" t="s">
        <v>19</v>
      </c>
      <c r="B14" s="5" t="s">
        <v>24</v>
      </c>
      <c r="C14" s="5" t="s">
        <v>24</v>
      </c>
      <c r="H14" s="3" t="s">
        <v>24</v>
      </c>
      <c r="I14" t="s">
        <v>162</v>
      </c>
    </row>
    <row r="15" spans="1:9" ht="12.75">
      <c r="A15" s="5"/>
      <c r="B15" s="5"/>
      <c r="C15" s="5"/>
      <c r="H15" s="33" t="s">
        <v>313</v>
      </c>
      <c r="I15" t="s">
        <v>314</v>
      </c>
    </row>
    <row r="16" spans="1:4" ht="12.75">
      <c r="A16" s="5" t="s">
        <v>114</v>
      </c>
      <c r="B16" s="5" t="s">
        <v>83</v>
      </c>
      <c r="C16" s="5" t="s">
        <v>115</v>
      </c>
      <c r="D16" s="5" t="s">
        <v>268</v>
      </c>
    </row>
    <row r="17" spans="1:3" ht="12.75">
      <c r="A17" s="5"/>
      <c r="B17" s="5"/>
      <c r="C17" s="5"/>
    </row>
    <row r="18" spans="1:4" ht="12.75">
      <c r="A18" s="5" t="s">
        <v>113</v>
      </c>
      <c r="B18" s="5" t="s">
        <v>73</v>
      </c>
      <c r="C18" s="5" t="s">
        <v>23</v>
      </c>
      <c r="D18" s="5" t="s">
        <v>130</v>
      </c>
    </row>
    <row r="20" spans="1:10" ht="12.75">
      <c r="A20" t="s">
        <v>116</v>
      </c>
      <c r="B20" t="s">
        <v>117</v>
      </c>
      <c r="C20" t="s">
        <v>118</v>
      </c>
      <c r="J20" s="1" t="s">
        <v>279</v>
      </c>
    </row>
    <row r="21" spans="1:11" ht="12.75">
      <c r="A21" s="5" t="s">
        <v>13</v>
      </c>
      <c r="B21" s="5" t="s">
        <v>5</v>
      </c>
      <c r="C21" s="5">
        <v>200</v>
      </c>
      <c r="J21" t="s">
        <v>280</v>
      </c>
      <c r="K21" t="s">
        <v>282</v>
      </c>
    </row>
    <row r="22" spans="1:11" ht="12.75">
      <c r="A22" t="s">
        <v>6</v>
      </c>
      <c r="B22" t="s">
        <v>7</v>
      </c>
      <c r="C22">
        <v>100</v>
      </c>
      <c r="J22" t="s">
        <v>281</v>
      </c>
      <c r="K22" t="s">
        <v>283</v>
      </c>
    </row>
    <row r="23" spans="1:3" ht="12.75">
      <c r="A23" t="s">
        <v>8</v>
      </c>
      <c r="B23" t="s">
        <v>9</v>
      </c>
      <c r="C23">
        <v>50</v>
      </c>
    </row>
    <row r="28" spans="1:8" ht="12.75">
      <c r="A28" s="1" t="s">
        <v>119</v>
      </c>
      <c r="B28" s="1" t="s">
        <v>126</v>
      </c>
      <c r="C28" s="1" t="s">
        <v>127</v>
      </c>
      <c r="D28" s="1" t="s">
        <v>10</v>
      </c>
      <c r="E28" s="1" t="s">
        <v>122</v>
      </c>
      <c r="F28" s="1"/>
      <c r="G28" s="1" t="s">
        <v>124</v>
      </c>
      <c r="H28" s="1" t="s">
        <v>125</v>
      </c>
    </row>
    <row r="29" spans="1:8" ht="12.75">
      <c r="A29" t="s">
        <v>120</v>
      </c>
      <c r="B29">
        <v>0</v>
      </c>
      <c r="C29">
        <v>1</v>
      </c>
      <c r="D29">
        <f>B29*G29+H29</f>
        <v>0</v>
      </c>
      <c r="E29">
        <f>C29*G29+H29</f>
        <v>50</v>
      </c>
      <c r="G29">
        <v>50</v>
      </c>
      <c r="H29">
        <v>0</v>
      </c>
    </row>
    <row r="30" spans="1:8" ht="12.75">
      <c r="A30" t="s">
        <v>121</v>
      </c>
      <c r="B30">
        <v>1</v>
      </c>
      <c r="C30">
        <v>10</v>
      </c>
      <c r="D30">
        <f>(B30-1)*G30+H30</f>
        <v>50</v>
      </c>
      <c r="E30">
        <f>(C30-1)*G30+H30</f>
        <v>72.5</v>
      </c>
      <c r="G30">
        <v>2.5</v>
      </c>
      <c r="H30">
        <v>50</v>
      </c>
    </row>
    <row r="31" spans="1:8" ht="12.75">
      <c r="A31" t="s">
        <v>123</v>
      </c>
      <c r="B31">
        <v>10</v>
      </c>
      <c r="C31">
        <v>100</v>
      </c>
      <c r="D31">
        <f>(B31-10)*G31+H31</f>
        <v>75</v>
      </c>
      <c r="E31">
        <f>(C31-10)*G31+H31</f>
        <v>187.5</v>
      </c>
      <c r="G31">
        <v>1.25</v>
      </c>
      <c r="H31">
        <v>75</v>
      </c>
    </row>
    <row r="32" spans="1:8" ht="12.75">
      <c r="A32" t="s">
        <v>128</v>
      </c>
      <c r="B32">
        <v>100</v>
      </c>
      <c r="C32">
        <v>500</v>
      </c>
      <c r="D32">
        <f>(B32-100)*G32+H32</f>
        <v>200</v>
      </c>
      <c r="E32">
        <f>(C32-100)*G32+H32</f>
        <v>450</v>
      </c>
      <c r="G32">
        <v>0.625</v>
      </c>
      <c r="H32">
        <v>200</v>
      </c>
    </row>
    <row r="35" ht="12.75">
      <c r="B35">
        <v>0.4</v>
      </c>
    </row>
    <row r="41" ht="12.75">
      <c r="A41" s="13" t="s">
        <v>269</v>
      </c>
    </row>
    <row r="43" spans="1:6" ht="12.75">
      <c r="A43" t="s">
        <v>325</v>
      </c>
      <c r="B43" t="s">
        <v>117</v>
      </c>
      <c r="C43" t="s">
        <v>326</v>
      </c>
      <c r="D43" t="s">
        <v>327</v>
      </c>
      <c r="E43" t="s">
        <v>328</v>
      </c>
      <c r="F43" t="s">
        <v>329</v>
      </c>
    </row>
    <row r="44" spans="1:7" ht="12.75">
      <c r="A44" t="s">
        <v>330</v>
      </c>
      <c r="B44" t="s">
        <v>331</v>
      </c>
      <c r="C44" t="s">
        <v>332</v>
      </c>
      <c r="D44" t="s">
        <v>333</v>
      </c>
      <c r="E44" t="s">
        <v>334</v>
      </c>
      <c r="F44" t="s">
        <v>335</v>
      </c>
      <c r="G44" t="s">
        <v>336</v>
      </c>
    </row>
    <row r="45" spans="1:7" ht="12.75">
      <c r="A45" t="s">
        <v>337</v>
      </c>
      <c r="B45" t="s">
        <v>338</v>
      </c>
      <c r="C45" t="s">
        <v>339</v>
      </c>
      <c r="E45" t="s">
        <v>340</v>
      </c>
      <c r="F45" t="s">
        <v>341</v>
      </c>
      <c r="G45" t="s">
        <v>342</v>
      </c>
    </row>
    <row r="46" spans="1:7" ht="12.75">
      <c r="A46" t="s">
        <v>343</v>
      </c>
      <c r="B46" t="s">
        <v>344</v>
      </c>
      <c r="C46" t="s">
        <v>345</v>
      </c>
      <c r="E46" t="s">
        <v>346</v>
      </c>
      <c r="F46" t="s">
        <v>347</v>
      </c>
      <c r="G46" t="s">
        <v>348</v>
      </c>
    </row>
    <row r="47" spans="1:7" ht="12.75">
      <c r="A47" t="s">
        <v>349</v>
      </c>
      <c r="B47" t="s">
        <v>350</v>
      </c>
      <c r="C47" t="s">
        <v>218</v>
      </c>
      <c r="E47" t="s">
        <v>351</v>
      </c>
      <c r="F47" t="s">
        <v>352</v>
      </c>
      <c r="G47" t="s">
        <v>353</v>
      </c>
    </row>
    <row r="48" spans="1:7" ht="12.75">
      <c r="A48" t="s">
        <v>354</v>
      </c>
      <c r="B48" t="s">
        <v>355</v>
      </c>
      <c r="C48" t="s">
        <v>356</v>
      </c>
      <c r="E48" t="s">
        <v>357</v>
      </c>
      <c r="F48" t="s">
        <v>358</v>
      </c>
      <c r="G48" t="s">
        <v>359</v>
      </c>
    </row>
    <row r="50" spans="1:6" ht="12.75">
      <c r="A50" t="s">
        <v>360</v>
      </c>
      <c r="F50" t="s">
        <v>361</v>
      </c>
    </row>
    <row r="51" ht="12.75">
      <c r="B51" t="s">
        <v>362</v>
      </c>
    </row>
    <row r="52" ht="12.75">
      <c r="B52" t="s">
        <v>363</v>
      </c>
    </row>
    <row r="53" ht="12.75">
      <c r="B53" t="s">
        <v>364</v>
      </c>
    </row>
    <row r="54" ht="12.75">
      <c r="B54" t="s">
        <v>365</v>
      </c>
    </row>
    <row r="55" ht="12.75">
      <c r="B55" t="s">
        <v>366</v>
      </c>
    </row>
    <row r="56" ht="12.75">
      <c r="B56" t="s">
        <v>367</v>
      </c>
    </row>
    <row r="58" spans="1:2" ht="12.75">
      <c r="A58" t="s">
        <v>368</v>
      </c>
      <c r="B58" t="s">
        <v>369</v>
      </c>
    </row>
    <row r="59" ht="12.75">
      <c r="B59" t="s">
        <v>370</v>
      </c>
    </row>
    <row r="60" ht="12.75">
      <c r="A60" t="s">
        <v>371</v>
      </c>
    </row>
  </sheetData>
  <hyperlinks>
    <hyperlink ref="A41" r:id="rId1" display="http://adsbit.harvard.edu/cgi-bin/nph-iarticle_query?1997AJ....113.1445W"/>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Moore</dc:creator>
  <cp:keywords/>
  <dc:description/>
  <cp:lastModifiedBy>Shawn Moore</cp:lastModifiedBy>
  <dcterms:created xsi:type="dcterms:W3CDTF">2009-04-24T16:50:46Z</dcterms:created>
  <dcterms:modified xsi:type="dcterms:W3CDTF">2009-04-29T22:51:15Z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